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unlimit\unlimit SM\excel fil\"/>
    </mc:Choice>
  </mc:AlternateContent>
  <xr:revisionPtr revIDLastSave="0" documentId="13_ncr:1_{8942F5D9-4B12-4B9F-8C32-9803BF294CEE}" xr6:coauthVersionLast="45" xr6:coauthVersionMax="45" xr10:uidLastSave="{00000000-0000-0000-0000-000000000000}"/>
  <bookViews>
    <workbookView xWindow="-120" yWindow="-120" windowWidth="20730" windowHeight="11160" tabRatio="929" activeTab="6" xr2:uid="{00000000-000D-0000-FFFF-FFFF00000000}"/>
  </bookViews>
  <sheets>
    <sheet name="ABOUT" sheetId="40" r:id="rId1"/>
    <sheet name="CAL" sheetId="31" state="hidden" r:id="rId2"/>
    <sheet name="Tools" sheetId="28" r:id="rId3"/>
    <sheet name="Stowage factors" sheetId="41" r:id="rId4"/>
    <sheet name="Wind" sheetId="30" r:id="rId5"/>
    <sheet name="ETA" sheetId="42" r:id="rId6"/>
    <sheet name="Distance table" sheetId="35" r:id="rId7"/>
    <sheet name="Bunker Calc" sheetId="39" r:id="rId8"/>
    <sheet name="GMDSS" sheetId="33" r:id="rId9"/>
    <sheet name="Check List" sheetId="34" r:id="rId10"/>
    <sheet name="RADAR 1" sheetId="25" r:id="rId11"/>
    <sheet name="RADAR 2" sheetId="27" r:id="rId12"/>
  </sheets>
  <definedNames>
    <definedName name="AbsRelWindCourse">#REF!</definedName>
    <definedName name="B" localSheetId="8">GMDSS!#REF!</definedName>
    <definedName name="B">Tools!#REF!</definedName>
    <definedName name="Different">#REF!</definedName>
    <definedName name="Flag" localSheetId="8">#REF!</definedName>
    <definedName name="Flag" localSheetId="11">#REF!</definedName>
    <definedName name="Flag">#REF!</definedName>
    <definedName name="GM" localSheetId="8">GMDSS!#REF!</definedName>
    <definedName name="GM">Tools!#REF!</definedName>
    <definedName name="InfoNoon">#REF!</definedName>
    <definedName name="Latitude">#REF!</definedName>
    <definedName name="Master" localSheetId="8">#REF!</definedName>
    <definedName name="Master" localSheetId="11">#REF!</definedName>
    <definedName name="Master">#REF!</definedName>
    <definedName name="NoonData">#REF!</definedName>
    <definedName name="Port_Kavkaz_anchorage_area_451__Black_Sea__Bosporus__Sea_of_Marmara__Dardanelles__Mediterranean_Sea__Gibraltar__RT__Atlantic_Ocean__RT__Road_of_Lagos__Lagos_pilot_STN">#REF!</definedName>
    <definedName name="_xlnm.Print_Area" localSheetId="0">ABOUT!$B$2:$Q$39</definedName>
    <definedName name="_xlnm.Print_Area" localSheetId="7">'Bunker Calc'!$B$1:$AJ$19</definedName>
    <definedName name="_xlnm.Print_Area" localSheetId="9">'Check List'!$B$5:$I$66</definedName>
    <definedName name="_xlnm.Print_Area" localSheetId="6">'Distance table'!$G$3:$M$23</definedName>
    <definedName name="_xlnm.Print_Area" localSheetId="5">ETA!$A$1:$J$23</definedName>
    <definedName name="_xlnm.Print_Area" localSheetId="8">GMDSS!$B$2:$N$10,GMDSS!$C$14:$W$65</definedName>
    <definedName name="_xlnm.Print_Area" localSheetId="10">'RADAR 1'!$B$2:$G$15</definedName>
    <definedName name="_xlnm.Print_Area" localSheetId="11">'RADAR 2'!$B$2:$G$15</definedName>
    <definedName name="_xlnm.Print_Area" localSheetId="3">'Stowage factors'!$B$2:$Q$63,'Stowage factors'!$B$65:$Q$123</definedName>
    <definedName name="_xlnm.Print_Area" localSheetId="2">Tools!$A$1:$U$44</definedName>
    <definedName name="RelWindCourse">#REF!</definedName>
    <definedName name="RelWindSpeed">#REF!</definedName>
    <definedName name="ShipCourse">#REF!</definedName>
    <definedName name="Ships_name" localSheetId="8">#REF!</definedName>
    <definedName name="Ships_name" localSheetId="11">#REF!</definedName>
    <definedName name="Ships_name">#REF!</definedName>
    <definedName name="shipspeed">#REF!</definedName>
    <definedName name="tarikh">#REF!</definedName>
    <definedName name="Time">#REF!</definedName>
    <definedName name="TrueWindSpeed">#REF!</definedName>
    <definedName name="WindCourse">#REF!</definedName>
    <definedName name="WindSpeed">#REF!</definedName>
    <definedName name="Капитан" localSheetId="8">#REF!</definedName>
    <definedName name="Капитан" localSheetId="11">#REF!</definedName>
    <definedName name="Капитан">#REF!</definedName>
    <definedName name="Название_судна" localSheetId="8">#REF!</definedName>
    <definedName name="Название_судна" localSheetId="11">#REF!</definedName>
    <definedName name="Название_судна">#REF!</definedName>
    <definedName name="Порт_откуда" localSheetId="8">#REF!</definedName>
    <definedName name="Порт_откуда" localSheetId="11">#REF!</definedName>
    <definedName name="Порт_откуда">#REF!</definedName>
    <definedName name="Порт_прихода" localSheetId="8">#REF!</definedName>
    <definedName name="Порт_прихода" localSheetId="11">#REF!</definedName>
    <definedName name="Порт_прихода">#REF!</definedName>
    <definedName name="Флаг" localSheetId="8">#REF!</definedName>
    <definedName name="Флаг" localSheetId="11">#REF!</definedName>
    <definedName name="Фла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" i="28" l="1"/>
  <c r="L13" i="28"/>
  <c r="L15" i="28" s="1"/>
  <c r="L14" i="28" l="1"/>
  <c r="L12" i="31"/>
  <c r="K12" i="31"/>
  <c r="L11" i="31"/>
  <c r="K11" i="31"/>
  <c r="M12" i="31" l="1"/>
  <c r="M11" i="31"/>
  <c r="E48" i="28" l="1"/>
  <c r="R36" i="28"/>
  <c r="P29" i="28" l="1"/>
  <c r="R37" i="28"/>
  <c r="B16" i="42" l="1"/>
  <c r="B17" i="42" s="1"/>
  <c r="B18" i="42" s="1"/>
  <c r="B14" i="42"/>
  <c r="C14" i="42" s="1"/>
  <c r="K14" i="42" s="1"/>
  <c r="D14" i="42" s="1"/>
  <c r="L22" i="42"/>
  <c r="L6" i="42"/>
  <c r="C15" i="42"/>
  <c r="K15" i="42" s="1"/>
  <c r="D15" i="42" s="1"/>
  <c r="K113" i="41"/>
  <c r="O113" i="41" s="1"/>
  <c r="K112" i="41"/>
  <c r="O112" i="41" s="1"/>
  <c r="K111" i="41"/>
  <c r="O111" i="41" s="1"/>
  <c r="K110" i="41"/>
  <c r="O110" i="41" s="1"/>
  <c r="O109" i="41"/>
  <c r="K109" i="41"/>
  <c r="K108" i="41"/>
  <c r="O108" i="41" s="1"/>
  <c r="K107" i="41"/>
  <c r="O107" i="41" s="1"/>
  <c r="K106" i="41"/>
  <c r="O106" i="41" s="1"/>
  <c r="K105" i="41"/>
  <c r="O105" i="41" s="1"/>
  <c r="P99" i="41"/>
  <c r="L99" i="41"/>
  <c r="P98" i="41"/>
  <c r="L98" i="41"/>
  <c r="P97" i="41"/>
  <c r="L97" i="41"/>
  <c r="Q96" i="41"/>
  <c r="O96" i="41"/>
  <c r="M96" i="41"/>
  <c r="K96" i="41"/>
  <c r="P95" i="41"/>
  <c r="L95" i="41"/>
  <c r="Q94" i="41"/>
  <c r="O94" i="41"/>
  <c r="M94" i="41"/>
  <c r="K94" i="41"/>
  <c r="Q93" i="41"/>
  <c r="O93" i="41"/>
  <c r="M93" i="41"/>
  <c r="K93" i="41"/>
  <c r="Q92" i="41"/>
  <c r="O92" i="41"/>
  <c r="M92" i="41"/>
  <c r="K92" i="41"/>
  <c r="Q91" i="41"/>
  <c r="O91" i="41"/>
  <c r="M91" i="41"/>
  <c r="K91" i="41"/>
  <c r="Q90" i="41"/>
  <c r="O90" i="41"/>
  <c r="M90" i="41"/>
  <c r="K90" i="41"/>
  <c r="P89" i="41"/>
  <c r="L89" i="41"/>
  <c r="P88" i="41"/>
  <c r="L88" i="41"/>
  <c r="Q87" i="41"/>
  <c r="O87" i="41"/>
  <c r="M87" i="41"/>
  <c r="K87" i="41"/>
  <c r="Q86" i="41"/>
  <c r="O86" i="41"/>
  <c r="M86" i="41"/>
  <c r="K86" i="41"/>
  <c r="Q84" i="41"/>
  <c r="O84" i="41"/>
  <c r="M84" i="41"/>
  <c r="K84" i="41"/>
  <c r="Q83" i="41"/>
  <c r="O83" i="41"/>
  <c r="M83" i="41"/>
  <c r="K83" i="41"/>
  <c r="Q82" i="41"/>
  <c r="O82" i="41"/>
  <c r="M82" i="41"/>
  <c r="K82" i="41"/>
  <c r="Q81" i="41"/>
  <c r="O81" i="41"/>
  <c r="M81" i="41"/>
  <c r="K81" i="41"/>
  <c r="P80" i="41"/>
  <c r="L80" i="41"/>
  <c r="Q79" i="41"/>
  <c r="O79" i="41"/>
  <c r="M79" i="41"/>
  <c r="K79" i="41"/>
  <c r="P78" i="41"/>
  <c r="L78" i="41"/>
  <c r="P77" i="41"/>
  <c r="L77" i="41"/>
  <c r="P76" i="41"/>
  <c r="L76" i="41"/>
  <c r="Q75" i="41"/>
  <c r="O75" i="41"/>
  <c r="M75" i="41"/>
  <c r="K75" i="41"/>
  <c r="Q74" i="41"/>
  <c r="O74" i="41"/>
  <c r="M74" i="41"/>
  <c r="K74" i="41"/>
  <c r="P73" i="41"/>
  <c r="L73" i="41"/>
  <c r="Q72" i="41"/>
  <c r="O72" i="41"/>
  <c r="M72" i="41"/>
  <c r="K72" i="41"/>
  <c r="P71" i="41"/>
  <c r="L71" i="41"/>
  <c r="P70" i="41"/>
  <c r="L70" i="41"/>
  <c r="Q69" i="41"/>
  <c r="O69" i="41"/>
  <c r="M69" i="41"/>
  <c r="K69" i="41"/>
  <c r="P68" i="41"/>
  <c r="L68" i="41"/>
  <c r="Q63" i="41"/>
  <c r="O63" i="41"/>
  <c r="M63" i="41"/>
  <c r="K63" i="41"/>
  <c r="P62" i="41"/>
  <c r="L62" i="41"/>
  <c r="P61" i="41"/>
  <c r="L61" i="41"/>
  <c r="P60" i="41"/>
  <c r="L60" i="41"/>
  <c r="Q59" i="41"/>
  <c r="O59" i="41"/>
  <c r="M59" i="41"/>
  <c r="K59" i="41"/>
  <c r="P58" i="41"/>
  <c r="L58" i="41"/>
  <c r="P57" i="41"/>
  <c r="L57" i="41"/>
  <c r="Q56" i="41"/>
  <c r="O56" i="41"/>
  <c r="M56" i="41"/>
  <c r="K56" i="41"/>
  <c r="P55" i="41"/>
  <c r="L55" i="41"/>
  <c r="P52" i="41"/>
  <c r="L52" i="41"/>
  <c r="Q51" i="41"/>
  <c r="O51" i="41"/>
  <c r="M51" i="41"/>
  <c r="K51" i="41"/>
  <c r="Q50" i="41"/>
  <c r="O50" i="41"/>
  <c r="M50" i="41"/>
  <c r="K50" i="41"/>
  <c r="P49" i="41"/>
  <c r="L49" i="41"/>
  <c r="P48" i="41"/>
  <c r="L48" i="41"/>
  <c r="P47" i="41"/>
  <c r="L47" i="41"/>
  <c r="Q46" i="41"/>
  <c r="O46" i="41"/>
  <c r="M46" i="41"/>
  <c r="K46" i="41"/>
  <c r="Q45" i="41"/>
  <c r="O45" i="41"/>
  <c r="M45" i="41"/>
  <c r="K45" i="41"/>
  <c r="Q44" i="41"/>
  <c r="O44" i="41"/>
  <c r="M44" i="41"/>
  <c r="K44" i="41"/>
  <c r="Q43" i="41"/>
  <c r="O43" i="41"/>
  <c r="M43" i="41"/>
  <c r="K43" i="41"/>
  <c r="P42" i="41"/>
  <c r="L42" i="41"/>
  <c r="P41" i="41"/>
  <c r="L41" i="41"/>
  <c r="P40" i="41"/>
  <c r="L40" i="41"/>
  <c r="Q39" i="41"/>
  <c r="O39" i="41"/>
  <c r="M39" i="41"/>
  <c r="K39" i="41"/>
  <c r="P38" i="41"/>
  <c r="L38" i="41"/>
  <c r="Q37" i="41"/>
  <c r="O37" i="41"/>
  <c r="M37" i="41"/>
  <c r="K37" i="41"/>
  <c r="Q36" i="41"/>
  <c r="O36" i="41"/>
  <c r="M36" i="41"/>
  <c r="K36" i="41"/>
  <c r="Q35" i="41"/>
  <c r="O35" i="41"/>
  <c r="M35" i="41"/>
  <c r="K35" i="41"/>
  <c r="Q34" i="41"/>
  <c r="O34" i="41"/>
  <c r="M34" i="41"/>
  <c r="K34" i="41"/>
  <c r="P33" i="41"/>
  <c r="L33" i="41"/>
  <c r="Q32" i="41"/>
  <c r="O32" i="41"/>
  <c r="M32" i="41"/>
  <c r="K32" i="41"/>
  <c r="P31" i="41"/>
  <c r="L31" i="41"/>
  <c r="P30" i="41"/>
  <c r="L30" i="41"/>
  <c r="Q29" i="41"/>
  <c r="O29" i="41"/>
  <c r="M29" i="41"/>
  <c r="Q28" i="41"/>
  <c r="O28" i="41"/>
  <c r="M28" i="41"/>
  <c r="K28" i="41"/>
  <c r="P27" i="41"/>
  <c r="L27" i="41"/>
  <c r="Q26" i="41"/>
  <c r="O26" i="41"/>
  <c r="M26" i="41"/>
  <c r="K26" i="41"/>
  <c r="Q25" i="41"/>
  <c r="O25" i="41"/>
  <c r="M25" i="41"/>
  <c r="K25" i="41"/>
  <c r="P24" i="41"/>
  <c r="L24" i="41"/>
  <c r="Q23" i="41"/>
  <c r="O23" i="41"/>
  <c r="M23" i="41"/>
  <c r="K23" i="41"/>
  <c r="P22" i="41"/>
  <c r="L22" i="41"/>
  <c r="Q21" i="41"/>
  <c r="O21" i="41"/>
  <c r="M21" i="41"/>
  <c r="K21" i="41"/>
  <c r="Q20" i="41"/>
  <c r="O20" i="41"/>
  <c r="M20" i="41"/>
  <c r="K20" i="41"/>
  <c r="P19" i="41"/>
  <c r="L19" i="41"/>
  <c r="Q18" i="41"/>
  <c r="O18" i="41"/>
  <c r="M18" i="41"/>
  <c r="K18" i="41"/>
  <c r="Q17" i="41"/>
  <c r="O17" i="41"/>
  <c r="M17" i="41"/>
  <c r="K17" i="41"/>
  <c r="Q15" i="41"/>
  <c r="O15" i="41"/>
  <c r="M15" i="41"/>
  <c r="K15" i="41"/>
  <c r="P14" i="41"/>
  <c r="L14" i="41"/>
  <c r="P13" i="41"/>
  <c r="L13" i="41"/>
  <c r="Q12" i="41"/>
  <c r="O12" i="41"/>
  <c r="M12" i="41"/>
  <c r="K12" i="41"/>
  <c r="P11" i="41"/>
  <c r="L11" i="41"/>
  <c r="P10" i="41"/>
  <c r="L10" i="41"/>
  <c r="Q9" i="41"/>
  <c r="O9" i="41"/>
  <c r="M9" i="41"/>
  <c r="K9" i="41"/>
  <c r="P8" i="41"/>
  <c r="L8" i="41"/>
  <c r="Q7" i="41"/>
  <c r="O7" i="41"/>
  <c r="M7" i="41"/>
  <c r="K7" i="41"/>
  <c r="Q6" i="41"/>
  <c r="O6" i="41"/>
  <c r="M6" i="41"/>
  <c r="K6" i="41"/>
  <c r="B13" i="42" l="1"/>
  <c r="B12" i="42" s="1"/>
  <c r="L15" i="42"/>
  <c r="I14" i="42"/>
  <c r="L14" i="42"/>
  <c r="B22" i="42"/>
  <c r="I15" i="42"/>
  <c r="C16" i="42"/>
  <c r="C18" i="42"/>
  <c r="C17" i="42"/>
  <c r="K8" i="31"/>
  <c r="L8" i="31" s="1"/>
  <c r="K7" i="31"/>
  <c r="L7" i="31" s="1"/>
  <c r="K6" i="31"/>
  <c r="L6" i="31" s="1"/>
  <c r="K5" i="31"/>
  <c r="L5" i="31" s="1"/>
  <c r="K4" i="31"/>
  <c r="L4" i="31" s="1"/>
  <c r="K3" i="31"/>
  <c r="L3" i="31" s="1"/>
  <c r="I18" i="42" l="1"/>
  <c r="K18" i="42"/>
  <c r="D18" i="42" s="1"/>
  <c r="I17" i="42"/>
  <c r="K17" i="42"/>
  <c r="D17" i="42" s="1"/>
  <c r="L16" i="42"/>
  <c r="K16" i="42"/>
  <c r="D16" i="42" s="1"/>
  <c r="L18" i="42"/>
  <c r="M16" i="42"/>
  <c r="F16" i="42" s="1"/>
  <c r="I16" i="42"/>
  <c r="L17" i="42"/>
  <c r="M17" i="42" s="1"/>
  <c r="F17" i="42" s="1"/>
  <c r="M15" i="42"/>
  <c r="F15" i="42" s="1"/>
  <c r="C13" i="42"/>
  <c r="K13" i="42" s="1"/>
  <c r="D13" i="42" s="1"/>
  <c r="C12" i="42"/>
  <c r="K12" i="42" s="1"/>
  <c r="D12" i="42" s="1"/>
  <c r="K2" i="31"/>
  <c r="Z11" i="39"/>
  <c r="AH4" i="39"/>
  <c r="AE4" i="39"/>
  <c r="AB4" i="39"/>
  <c r="U4" i="39"/>
  <c r="N4" i="39"/>
  <c r="AG4" i="39"/>
  <c r="AD4" i="39"/>
  <c r="AA4" i="39"/>
  <c r="X4" i="39"/>
  <c r="S4" i="39"/>
  <c r="L4" i="39"/>
  <c r="AF4" i="39"/>
  <c r="AC4" i="39"/>
  <c r="Z4" i="39"/>
  <c r="W4" i="39"/>
  <c r="Q4" i="39"/>
  <c r="J4" i="39"/>
  <c r="B1" i="39"/>
  <c r="M18" i="42" l="1"/>
  <c r="F18" i="42" s="1"/>
  <c r="L12" i="42"/>
  <c r="M12" i="42" s="1"/>
  <c r="F12" i="42" s="1"/>
  <c r="I12" i="42"/>
  <c r="L13" i="42"/>
  <c r="I13" i="42"/>
  <c r="N6" i="31"/>
  <c r="W10" i="41" s="1"/>
  <c r="N7" i="31"/>
  <c r="W11" i="41" s="1"/>
  <c r="N4" i="31"/>
  <c r="W13" i="41" s="1"/>
  <c r="N8" i="31"/>
  <c r="W14" i="41" s="1"/>
  <c r="N5" i="31"/>
  <c r="W9" i="41" s="1"/>
  <c r="N3" i="31"/>
  <c r="W8" i="41" s="1"/>
  <c r="I9" i="39"/>
  <c r="M9" i="39" s="1"/>
  <c r="I10" i="39"/>
  <c r="K10" i="39" s="1"/>
  <c r="I6" i="39"/>
  <c r="K6" i="39" s="1"/>
  <c r="I7" i="39"/>
  <c r="O7" i="39" s="1"/>
  <c r="I8" i="39"/>
  <c r="E9" i="39"/>
  <c r="E8" i="39"/>
  <c r="V7" i="39"/>
  <c r="V8" i="39"/>
  <c r="V9" i="39"/>
  <c r="V10" i="39"/>
  <c r="T7" i="39"/>
  <c r="T8" i="39"/>
  <c r="T9" i="39"/>
  <c r="T10" i="39"/>
  <c r="V6" i="39"/>
  <c r="T6" i="39"/>
  <c r="R6" i="39"/>
  <c r="R7" i="39"/>
  <c r="R8" i="39"/>
  <c r="R9" i="39"/>
  <c r="R10" i="39"/>
  <c r="O9" i="39"/>
  <c r="K7" i="39"/>
  <c r="K9" i="39" l="1"/>
  <c r="M13" i="42"/>
  <c r="F13" i="42" s="1"/>
  <c r="M14" i="42"/>
  <c r="F14" i="42" s="1"/>
  <c r="M10" i="39"/>
  <c r="O10" i="39"/>
  <c r="M7" i="39"/>
  <c r="M6" i="39"/>
  <c r="O6" i="39"/>
  <c r="Z5" i="39" l="1"/>
  <c r="U11" i="39"/>
  <c r="S11" i="39"/>
  <c r="Q11" i="39"/>
  <c r="P11" i="39"/>
  <c r="E7" i="39"/>
  <c r="E6" i="39" s="1"/>
  <c r="E5" i="39" s="1"/>
  <c r="AB11" i="39" l="1"/>
  <c r="AA11" i="39"/>
  <c r="AA5" i="39" s="1"/>
  <c r="AE10" i="39"/>
  <c r="AE9" i="39"/>
  <c r="AD9" i="39"/>
  <c r="D11" i="39"/>
  <c r="AI6" i="39"/>
  <c r="AJ6" i="39" s="1"/>
  <c r="Y6" i="39"/>
  <c r="H6" i="39"/>
  <c r="H7" i="39" s="1"/>
  <c r="H8" i="39" s="1"/>
  <c r="F6" i="39"/>
  <c r="F7" i="39" s="1"/>
  <c r="F8" i="39" l="1"/>
  <c r="F9" i="39" s="1"/>
  <c r="F10" i="39" s="1"/>
  <c r="M8" i="39"/>
  <c r="L11" i="39" s="1"/>
  <c r="K8" i="39"/>
  <c r="J11" i="39" s="1"/>
  <c r="O8" i="39"/>
  <c r="N11" i="39" s="1"/>
  <c r="I11" i="39"/>
  <c r="AD7" i="39"/>
  <c r="AE7" i="39"/>
  <c r="H9" i="39"/>
  <c r="H10" i="39" s="1"/>
  <c r="Y7" i="39"/>
  <c r="AD6" i="39"/>
  <c r="X6" i="39"/>
  <c r="AE6" i="39"/>
  <c r="AI7" i="39"/>
  <c r="AI8" i="39" s="1"/>
  <c r="AB5" i="39"/>
  <c r="AB6" i="39"/>
  <c r="AC10" i="39"/>
  <c r="AC7" i="39"/>
  <c r="AC9" i="39"/>
  <c r="AD10" i="39"/>
  <c r="D2" i="27"/>
  <c r="D2" i="25"/>
  <c r="H66" i="34"/>
  <c r="D66" i="34"/>
  <c r="H65" i="34"/>
  <c r="D65" i="34"/>
  <c r="H64" i="34"/>
  <c r="D64" i="34"/>
  <c r="H63" i="34"/>
  <c r="D63" i="34"/>
  <c r="H62" i="34"/>
  <c r="D62" i="34"/>
  <c r="H61" i="34"/>
  <c r="D61" i="34"/>
  <c r="H60" i="34"/>
  <c r="H59" i="34"/>
  <c r="H58" i="34"/>
  <c r="H57" i="34"/>
  <c r="H56" i="34"/>
  <c r="H55" i="34"/>
  <c r="H54" i="34"/>
  <c r="H53" i="34"/>
  <c r="H52" i="34"/>
  <c r="H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D60" i="34"/>
  <c r="D59" i="34"/>
  <c r="D58" i="34"/>
  <c r="D57" i="34"/>
  <c r="D56" i="34"/>
  <c r="D55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D8" i="34"/>
  <c r="D7" i="34"/>
  <c r="AC8" i="39" l="1"/>
  <c r="AE8" i="39"/>
  <c r="AE11" i="39" s="1"/>
  <c r="AD8" i="39"/>
  <c r="AD11" i="39" s="1"/>
  <c r="Y8" i="39"/>
  <c r="AB7" i="39"/>
  <c r="AC6" i="39"/>
  <c r="AC11" i="39" s="1"/>
  <c r="W6" i="39"/>
  <c r="Z6" i="39" s="1"/>
  <c r="AH6" i="39"/>
  <c r="AH7" i="39" s="1"/>
  <c r="AG6" i="39"/>
  <c r="AG7" i="39" s="1"/>
  <c r="AJ7" i="39"/>
  <c r="X7" i="39"/>
  <c r="AA6" i="39"/>
  <c r="H16" i="31"/>
  <c r="AH8" i="39" l="1"/>
  <c r="AH9" i="39" s="1"/>
  <c r="AH10" i="39" s="1"/>
  <c r="AG8" i="39"/>
  <c r="AG9" i="39" s="1"/>
  <c r="AG10" i="39" s="1"/>
  <c r="AB8" i="39"/>
  <c r="Y9" i="39"/>
  <c r="X8" i="39"/>
  <c r="AA7" i="39"/>
  <c r="AF6" i="39"/>
  <c r="AF7" i="39" s="1"/>
  <c r="AF8" i="39" s="1"/>
  <c r="AF9" i="39" s="1"/>
  <c r="AF10" i="39" s="1"/>
  <c r="AJ8" i="39"/>
  <c r="AI9" i="39"/>
  <c r="W7" i="39"/>
  <c r="Z7" i="39" s="1"/>
  <c r="Y10" i="39" l="1"/>
  <c r="AB10" i="39" s="1"/>
  <c r="AB9" i="39"/>
  <c r="X9" i="39"/>
  <c r="AA8" i="39"/>
  <c r="W8" i="39"/>
  <c r="Z8" i="39" s="1"/>
  <c r="AI10" i="39"/>
  <c r="AJ10" i="39" s="1"/>
  <c r="AJ9" i="39"/>
  <c r="X10" i="39" l="1"/>
  <c r="AA10" i="39" s="1"/>
  <c r="AA9" i="39"/>
  <c r="W9" i="39"/>
  <c r="E5" i="30"/>
  <c r="H15" i="31" s="1"/>
  <c r="W10" i="39" l="1"/>
  <c r="H17" i="31"/>
  <c r="H18" i="31" s="1"/>
  <c r="C6" i="30" s="1"/>
  <c r="M4" i="35"/>
  <c r="L4" i="35" s="1"/>
  <c r="D23" i="35"/>
  <c r="I23" i="35" s="1"/>
  <c r="I18" i="35"/>
  <c r="I17" i="35"/>
  <c r="I16" i="35"/>
  <c r="I14" i="35"/>
  <c r="I11" i="35"/>
  <c r="I5" i="35"/>
  <c r="D21" i="35"/>
  <c r="I21" i="35" s="1"/>
  <c r="D18" i="35"/>
  <c r="D15" i="35"/>
  <c r="I15" i="35" s="1"/>
  <c r="D12" i="35"/>
  <c r="I12" i="35" s="1"/>
  <c r="D9" i="35"/>
  <c r="I9" i="35" s="1"/>
  <c r="D8" i="35"/>
  <c r="I8" i="35" s="1"/>
  <c r="M8" i="35" s="1"/>
  <c r="D7" i="35"/>
  <c r="I7" i="35" s="1"/>
  <c r="I6" i="35"/>
  <c r="G3" i="35"/>
  <c r="H3" i="35"/>
  <c r="G23" i="35"/>
  <c r="G21" i="35"/>
  <c r="G18" i="35"/>
  <c r="G17" i="35"/>
  <c r="G16" i="35"/>
  <c r="G15" i="35"/>
  <c r="G14" i="35"/>
  <c r="G12" i="35"/>
  <c r="G11" i="35"/>
  <c r="G9" i="35"/>
  <c r="G8" i="35"/>
  <c r="G7" i="35"/>
  <c r="G6" i="35"/>
  <c r="G5" i="35"/>
  <c r="L14" i="35" l="1"/>
  <c r="L17" i="35"/>
  <c r="K4" i="35"/>
  <c r="K8" i="35" s="1"/>
  <c r="L6" i="35"/>
  <c r="L16" i="35"/>
  <c r="M14" i="35"/>
  <c r="M16" i="35"/>
  <c r="M5" i="35"/>
  <c r="L9" i="35"/>
  <c r="K7" i="35"/>
  <c r="L5" i="35"/>
  <c r="L7" i="35"/>
  <c r="M17" i="35"/>
  <c r="M15" i="35"/>
  <c r="L15" i="35"/>
  <c r="M23" i="35"/>
  <c r="L8" i="35"/>
  <c r="M11" i="35"/>
  <c r="L12" i="35"/>
  <c r="L11" i="35"/>
  <c r="M6" i="35"/>
  <c r="L21" i="35"/>
  <c r="K6" i="35"/>
  <c r="L23" i="35"/>
  <c r="M12" i="35"/>
  <c r="M9" i="35"/>
  <c r="M21" i="35"/>
  <c r="M7" i="35"/>
  <c r="K23" i="35" l="1"/>
  <c r="K9" i="35"/>
  <c r="K11" i="35"/>
  <c r="K15" i="35"/>
  <c r="K16" i="35"/>
  <c r="K5" i="35"/>
  <c r="K12" i="35"/>
  <c r="K14" i="35"/>
  <c r="K21" i="35"/>
  <c r="K17" i="35"/>
  <c r="J4" i="35"/>
  <c r="M18" i="35"/>
  <c r="K18" i="35"/>
  <c r="L18" i="35"/>
  <c r="J18" i="35" l="1"/>
  <c r="J5" i="35"/>
  <c r="J16" i="35"/>
  <c r="J8" i="35"/>
  <c r="J14" i="35"/>
  <c r="J23" i="35"/>
  <c r="J12" i="35"/>
  <c r="J15" i="35"/>
  <c r="J11" i="35"/>
  <c r="J17" i="35"/>
  <c r="J7" i="35"/>
  <c r="J6" i="35"/>
  <c r="J21" i="35"/>
  <c r="J9" i="35"/>
  <c r="C41" i="28" l="1"/>
  <c r="C39" i="28"/>
  <c r="E36" i="28"/>
  <c r="L30" i="28" s="1"/>
  <c r="E35" i="28"/>
  <c r="L31" i="28" s="1"/>
  <c r="E34" i="28"/>
  <c r="L37" i="28" s="1"/>
  <c r="G42" i="28"/>
  <c r="L34" i="28" l="1"/>
  <c r="L35" i="28"/>
  <c r="L32" i="28"/>
  <c r="L36" i="28"/>
  <c r="L33" i="28"/>
  <c r="E37" i="28"/>
  <c r="L5" i="28"/>
  <c r="R15" i="28"/>
  <c r="R19" i="28"/>
  <c r="R5" i="28"/>
  <c r="F17" i="28"/>
  <c r="F16" i="28"/>
  <c r="F15" i="28"/>
  <c r="F13" i="28"/>
  <c r="F12" i="28"/>
  <c r="F11" i="28"/>
  <c r="E19" i="28"/>
  <c r="L41" i="28" l="1"/>
  <c r="F19" i="28"/>
  <c r="E19" i="30"/>
  <c r="C19" i="30"/>
  <c r="E12" i="30"/>
  <c r="C12" i="30"/>
  <c r="E14" i="30" l="1"/>
  <c r="G15" i="31" s="1"/>
  <c r="G16" i="31"/>
  <c r="E21" i="30"/>
  <c r="F15" i="31" s="1"/>
  <c r="F16" i="31"/>
  <c r="G3" i="31"/>
  <c r="G4" i="31" s="1"/>
  <c r="G5" i="31" s="1"/>
  <c r="G6" i="31" s="1"/>
  <c r="G7" i="31" s="1"/>
  <c r="G8" i="31" s="1"/>
  <c r="G9" i="31" s="1"/>
  <c r="G10" i="31" s="1"/>
  <c r="G11" i="31" s="1"/>
  <c r="B3" i="31"/>
  <c r="B4" i="31" s="1"/>
  <c r="B5" i="31" s="1"/>
  <c r="B6" i="31" s="1"/>
  <c r="B7" i="31" s="1"/>
  <c r="B8" i="31" s="1"/>
  <c r="B9" i="31" s="1"/>
  <c r="F5" i="28"/>
  <c r="O26" i="28"/>
  <c r="L26" i="28"/>
  <c r="N26" i="28" s="1"/>
  <c r="J26" i="28"/>
  <c r="Q25" i="28"/>
  <c r="L25" i="28"/>
  <c r="N25" i="28" s="1"/>
  <c r="K25" i="28"/>
  <c r="E26" i="28"/>
  <c r="F26" i="28" s="1"/>
  <c r="C26" i="28"/>
  <c r="E25" i="28"/>
  <c r="F25" i="28" s="1"/>
  <c r="D25" i="28"/>
  <c r="B10" i="31" l="1"/>
  <c r="B11" i="31" s="1"/>
  <c r="B12" i="31" s="1"/>
  <c r="B13" i="31" s="1"/>
  <c r="B14" i="31" s="1"/>
  <c r="B15" i="31" s="1"/>
  <c r="B16" i="31" s="1"/>
  <c r="B17" i="31" s="1"/>
  <c r="F17" i="31"/>
  <c r="F18" i="31" s="1"/>
  <c r="C21" i="30" s="1"/>
  <c r="G17" i="31"/>
  <c r="G18" i="31" s="1"/>
  <c r="C14" i="30" s="1"/>
  <c r="E6" i="30"/>
  <c r="C5" i="30" l="1"/>
  <c r="E7" i="30"/>
  <c r="I7" i="30" s="1"/>
  <c r="L6" i="25"/>
  <c r="I5" i="30" l="1"/>
  <c r="K7" i="27"/>
  <c r="K8" i="27" s="1"/>
  <c r="M6" i="27"/>
  <c r="L6" i="27"/>
  <c r="L5" i="27"/>
  <c r="M4" i="27"/>
  <c r="L4" i="27"/>
  <c r="F4" i="27"/>
  <c r="F3" i="27"/>
  <c r="C2" i="27"/>
  <c r="I6" i="30" l="1"/>
  <c r="F4" i="25"/>
  <c r="F3" i="25"/>
  <c r="C2" i="25" l="1"/>
  <c r="K7" i="25"/>
  <c r="K8" i="25" s="1"/>
  <c r="L5" i="25"/>
  <c r="L4" i="25"/>
  <c r="M4" i="25"/>
  <c r="M6" i="25"/>
  <c r="Z9" i="39"/>
  <c r="Z10" i="39"/>
</calcChain>
</file>

<file path=xl/sharedStrings.xml><?xml version="1.0" encoding="utf-8"?>
<sst xmlns="http://schemas.openxmlformats.org/spreadsheetml/2006/main" count="821" uniqueCount="429">
  <si>
    <t xml:space="preserve">
</t>
  </si>
  <si>
    <t>Sector nr. 1 from</t>
  </si>
  <si>
    <t>Width of sector nr. 1</t>
  </si>
  <si>
    <t>Width between sectors</t>
  </si>
  <si>
    <t>Width of sector nr. 2</t>
  </si>
  <si>
    <t>Name of vessel</t>
  </si>
  <si>
    <t>Name of radar</t>
  </si>
  <si>
    <t>Ship's head</t>
  </si>
  <si>
    <t>Furuno X-Band radar</t>
  </si>
  <si>
    <t>150 m (Lc)</t>
  </si>
  <si>
    <t>190 m (Bc)</t>
  </si>
  <si>
    <t>Furuno S-Band radar</t>
  </si>
  <si>
    <t>180 m (Bc)</t>
  </si>
  <si>
    <t>140 m (Lc)</t>
  </si>
  <si>
    <t>Height</t>
  </si>
  <si>
    <t>Distance in miles</t>
  </si>
  <si>
    <t>Distance in km</t>
  </si>
  <si>
    <t>Metres</t>
  </si>
  <si>
    <t>Feet</t>
  </si>
  <si>
    <t>Height of eye above sea</t>
  </si>
  <si>
    <t>Height of lighthouse</t>
  </si>
  <si>
    <t>Max</t>
  </si>
  <si>
    <t>Min</t>
  </si>
  <si>
    <t>Current</t>
  </si>
  <si>
    <t>Interpolation</t>
  </si>
  <si>
    <t>Distance of sea horizon</t>
  </si>
  <si>
    <t>Distance from a dipping light</t>
  </si>
  <si>
    <t>Scale</t>
  </si>
  <si>
    <t>WAVE SCALE</t>
  </si>
  <si>
    <t>SWEEL SCALE</t>
  </si>
  <si>
    <t>Course</t>
  </si>
  <si>
    <t>Ship</t>
  </si>
  <si>
    <t>CALM</t>
  </si>
  <si>
    <t>NORTH</t>
  </si>
  <si>
    <t>LIGHT AIR</t>
  </si>
  <si>
    <t>LIGHT BREEZE</t>
  </si>
  <si>
    <t>NNE</t>
  </si>
  <si>
    <t>GENTLE BREEZE</t>
  </si>
  <si>
    <t>NE</t>
  </si>
  <si>
    <t>MODERATE BREEZE</t>
  </si>
  <si>
    <t>ENE</t>
  </si>
  <si>
    <t>FRESH BREEZE</t>
  </si>
  <si>
    <t>E</t>
  </si>
  <si>
    <t>STRONG BREEZE</t>
  </si>
  <si>
    <t>ESE</t>
  </si>
  <si>
    <t>NEAR GALE</t>
  </si>
  <si>
    <t>SE</t>
  </si>
  <si>
    <t>GALE</t>
  </si>
  <si>
    <t>SSE</t>
  </si>
  <si>
    <t>STRONG GALE</t>
  </si>
  <si>
    <t>S</t>
  </si>
  <si>
    <t>STORM</t>
  </si>
  <si>
    <t>SSW</t>
  </si>
  <si>
    <t>VIOLENT STORM</t>
  </si>
  <si>
    <t>SW</t>
  </si>
  <si>
    <t>HURRICANE</t>
  </si>
  <si>
    <t>WSW</t>
  </si>
  <si>
    <t>W</t>
  </si>
  <si>
    <t>NO SWEEL</t>
  </si>
  <si>
    <t>WNW</t>
  </si>
  <si>
    <t>CALM RIPPLED</t>
  </si>
  <si>
    <t>LOW SWEEL SHORT OR MOD LENGTH</t>
  </si>
  <si>
    <t>NW</t>
  </si>
  <si>
    <t>SMOOTH SEA</t>
  </si>
  <si>
    <t>LOW SWEEL LONG LENGTH</t>
  </si>
  <si>
    <t>NNW</t>
  </si>
  <si>
    <t>SLIGHT SEA</t>
  </si>
  <si>
    <t>MODERATE SWEEL SHORT OR MOD LENGTH</t>
  </si>
  <si>
    <t>N</t>
  </si>
  <si>
    <t>MODERATE SEA</t>
  </si>
  <si>
    <t>MODERATE SWEEL MOD. LENGTH</t>
  </si>
  <si>
    <t>ROUGH SEA</t>
  </si>
  <si>
    <t>MODERATE SWEEL LONG LENGTH</t>
  </si>
  <si>
    <t>VERY ROUGH SEA</t>
  </si>
  <si>
    <t>HEAVY SWEEL SHORT  LENGTH</t>
  </si>
  <si>
    <t>HIGH SEA</t>
  </si>
  <si>
    <t>HEAVY SWEEL MOD  LENGTH</t>
  </si>
  <si>
    <t>VERY HIGH SES</t>
  </si>
  <si>
    <t>HEAVY SWEEL LONG LENGTH</t>
  </si>
  <si>
    <t>PHENOMARAL</t>
  </si>
  <si>
    <t>CONFUSED SWEEL</t>
  </si>
  <si>
    <t>Relative wind</t>
  </si>
  <si>
    <t>True wind</t>
  </si>
  <si>
    <t>Wind (-180 / 180)</t>
  </si>
  <si>
    <t>Wind scale</t>
  </si>
  <si>
    <t>Wave scale</t>
  </si>
  <si>
    <t>Swell scale</t>
  </si>
  <si>
    <t>Relative to True wind</t>
  </si>
  <si>
    <t>True to Relative wind</t>
  </si>
  <si>
    <t>Relative wind ( 0 / 360 )</t>
  </si>
  <si>
    <t>True wind ( 0 / 360 )</t>
  </si>
  <si>
    <t>Speed (knts)</t>
  </si>
  <si>
    <t>C/H #1</t>
  </si>
  <si>
    <t>C/H #2</t>
  </si>
  <si>
    <t>C/H #3</t>
  </si>
  <si>
    <t>C/H #4</t>
  </si>
  <si>
    <t>C/H #5</t>
  </si>
  <si>
    <t>C/H #6</t>
  </si>
  <si>
    <t>C/H #7</t>
  </si>
  <si>
    <t>TOTAL</t>
  </si>
  <si>
    <t>Maximum weight from S/F anf volume of holds</t>
  </si>
  <si>
    <t>Max weight(t)</t>
  </si>
  <si>
    <t>FWA vs Density</t>
  </si>
  <si>
    <t>Current density</t>
  </si>
  <si>
    <t>GM by rolling period</t>
  </si>
  <si>
    <t>Moulded beam</t>
  </si>
  <si>
    <t>Length at waterline</t>
  </si>
  <si>
    <t>GM</t>
  </si>
  <si>
    <t>Drafts SW</t>
  </si>
  <si>
    <t>Change draught by list</t>
  </si>
  <si>
    <t>List</t>
  </si>
  <si>
    <t>Change of draught</t>
  </si>
  <si>
    <t>Beam at marks</t>
  </si>
  <si>
    <t>Period</t>
  </si>
  <si>
    <t>Dead zone (ballast cond.)</t>
  </si>
  <si>
    <t>Dead zone (load cond.)</t>
  </si>
  <si>
    <t>Garbage calculation</t>
  </si>
  <si>
    <t>Days:</t>
  </si>
  <si>
    <t>Crew No:</t>
  </si>
  <si>
    <t>Plastic</t>
  </si>
  <si>
    <t>Food</t>
  </si>
  <si>
    <t>Food:</t>
  </si>
  <si>
    <t>Rags, paper:</t>
  </si>
  <si>
    <t>Total quantity:</t>
  </si>
  <si>
    <t>Yes</t>
  </si>
  <si>
    <t>VSL is equipped with grinder*:</t>
  </si>
  <si>
    <t>Plastic**:</t>
  </si>
  <si>
    <t>Paper, wood</t>
  </si>
  <si>
    <t>Tins, glass, metall etc.</t>
  </si>
  <si>
    <t>Maintenance waste</t>
  </si>
  <si>
    <t>Exp.batteries</t>
  </si>
  <si>
    <t>Exp.medicines</t>
  </si>
  <si>
    <t>Fluorescent lamps</t>
  </si>
  <si>
    <t>Tins fm chemicals, paints</t>
  </si>
  <si>
    <t>Incinerator ash</t>
  </si>
  <si>
    <t>Summer</t>
  </si>
  <si>
    <t>Winter</t>
  </si>
  <si>
    <t>Day</t>
  </si>
  <si>
    <t>Night</t>
  </si>
  <si>
    <t>300÷600</t>
  </si>
  <si>
    <t>600÷1500</t>
  </si>
  <si>
    <t>1500÷3000</t>
  </si>
  <si>
    <t>3000÷5000</t>
  </si>
  <si>
    <t>MF/HF Distance</t>
  </si>
  <si>
    <t>Distance, nm</t>
  </si>
  <si>
    <t>NavArea</t>
  </si>
  <si>
    <t>BRIDGE CHECK LIST 8</t>
  </si>
  <si>
    <t>Date</t>
  </si>
  <si>
    <t>Time</t>
  </si>
  <si>
    <t>OOW</t>
  </si>
  <si>
    <t>Signature</t>
  </si>
  <si>
    <t>2/O</t>
  </si>
  <si>
    <t>C/O</t>
  </si>
  <si>
    <t>3/O</t>
  </si>
  <si>
    <t>Dist</t>
  </si>
  <si>
    <t>Djibouti - Mombasa</t>
  </si>
  <si>
    <t>(berth to berth)</t>
  </si>
  <si>
    <t>Djibouti pilot station</t>
  </si>
  <si>
    <t>Mombasa pilot station</t>
  </si>
  <si>
    <t>Exit IRTC</t>
  </si>
  <si>
    <t>Enter HRA</t>
  </si>
  <si>
    <t>Exit HRA</t>
  </si>
  <si>
    <t>Mombasa - Dar es Salam</t>
  </si>
  <si>
    <t>Dar es Salam pilot station</t>
  </si>
  <si>
    <t>Dar es Salam - Durban</t>
  </si>
  <si>
    <t>Durban</t>
  </si>
  <si>
    <t>Dar es Salam</t>
  </si>
  <si>
    <r>
      <t>10</t>
    </r>
    <r>
      <rPr>
        <sz val="10"/>
        <color theme="1"/>
        <rFont val="Courier New"/>
        <family val="3"/>
      </rPr>
      <t>˚</t>
    </r>
    <r>
      <rPr>
        <sz val="10"/>
        <color theme="1"/>
        <rFont val="Times New Roman"/>
        <family val="1"/>
      </rPr>
      <t>00 S</t>
    </r>
  </si>
  <si>
    <t>Moroni</t>
  </si>
  <si>
    <t>HRA</t>
  </si>
  <si>
    <t>(Djibouti - Durban)</t>
  </si>
  <si>
    <t>Version:</t>
  </si>
  <si>
    <t>Date (if empty then today):</t>
  </si>
  <si>
    <t>Max Speed</t>
  </si>
  <si>
    <t>LOA</t>
  </si>
  <si>
    <t>07/18-1.9</t>
  </si>
  <si>
    <t>Secondov S.</t>
  </si>
  <si>
    <t>Starpovov V.</t>
  </si>
  <si>
    <t>Tretiy T.</t>
  </si>
  <si>
    <t>#</t>
  </si>
  <si>
    <t>POINT</t>
  </si>
  <si>
    <t>DIST</t>
  </si>
  <si>
    <t>DTG</t>
  </si>
  <si>
    <t>Total Distance</t>
  </si>
  <si>
    <t>Speed</t>
  </si>
  <si>
    <t>TTG (days)</t>
  </si>
  <si>
    <t>TIME (days)</t>
  </si>
  <si>
    <t>Consumption at sea (MT)</t>
  </si>
  <si>
    <t>Days in port</t>
  </si>
  <si>
    <t>Consumption at port (MT)</t>
  </si>
  <si>
    <t>BROB (MT)</t>
  </si>
  <si>
    <t>Available Capacity (MT)</t>
  </si>
  <si>
    <t>Require Bunker (MT)</t>
  </si>
  <si>
    <t>Total Req. Bunker (MT)</t>
  </si>
  <si>
    <t>ETA</t>
  </si>
  <si>
    <t>ETD</t>
  </si>
  <si>
    <t>HSIFO</t>
  </si>
  <si>
    <t>LSMGO</t>
  </si>
  <si>
    <t>MGO</t>
  </si>
  <si>
    <t>Tianjin</t>
  </si>
  <si>
    <t>Calc.date:</t>
  </si>
  <si>
    <t>Mizushima</t>
  </si>
  <si>
    <t>Port Canaveral</t>
  </si>
  <si>
    <t>Rezerv (%)</t>
  </si>
  <si>
    <t>Voy:</t>
  </si>
  <si>
    <t>79B-L</t>
  </si>
  <si>
    <t>Capacity (m3)</t>
  </si>
  <si>
    <t>Used volume (%)</t>
  </si>
  <si>
    <t>Density</t>
  </si>
  <si>
    <t>http://sbgames.su</t>
  </si>
  <si>
    <t>sbgames@mail.ru</t>
  </si>
  <si>
    <t>e-mail:</t>
  </si>
  <si>
    <t>Version: 1.0.0.Eng [2018/12/05]</t>
  </si>
  <si>
    <t>In this book:</t>
  </si>
  <si>
    <t>Tools</t>
  </si>
  <si>
    <t>Distance table</t>
  </si>
  <si>
    <t>TTG from speed and distance</t>
  </si>
  <si>
    <t>Bunker Calc</t>
  </si>
  <si>
    <t>GMDSS</t>
  </si>
  <si>
    <t>Check List</t>
  </si>
  <si>
    <t>For every day check lists</t>
  </si>
  <si>
    <t>RADAR 1/2</t>
  </si>
  <si>
    <t>Scheme of shadow sector and dead zone</t>
  </si>
  <si>
    <t>- cells for edit</t>
  </si>
  <si>
    <t>- cells with results</t>
  </si>
  <si>
    <t>Manual:</t>
  </si>
  <si>
    <t>Other marine projects by SBGames:</t>
  </si>
  <si>
    <t>Resudual Dynamic Stability Calculation (for Grain)</t>
  </si>
  <si>
    <t>Super Trafaret</t>
  </si>
  <si>
    <t>Modification for correct work in Windows without Russian language</t>
  </si>
  <si>
    <t>Wind</t>
  </si>
  <si>
    <t>Total FWA</t>
  </si>
  <si>
    <t>Current FWA</t>
  </si>
  <si>
    <t>Stowage factor conversion</t>
  </si>
  <si>
    <t>ft3 / LT (S.F.)</t>
  </si>
  <si>
    <r>
      <t>ft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  <charset val="204"/>
      </rPr>
      <t xml:space="preserve"> / LT (S.F.)</t>
    </r>
  </si>
  <si>
    <r>
      <t>MT / m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  <charset val="204"/>
      </rPr>
      <t xml:space="preserve"> (S.G.)</t>
    </r>
  </si>
  <si>
    <r>
      <t>ft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  <charset val="204"/>
      </rPr>
      <t xml:space="preserve"> / MT</t>
    </r>
  </si>
  <si>
    <r>
      <t>m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  <charset val="204"/>
      </rPr>
      <t xml:space="preserve"> / MT</t>
    </r>
  </si>
  <si>
    <r>
      <t>m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  <charset val="204"/>
      </rPr>
      <t xml:space="preserve"> / LT</t>
    </r>
  </si>
  <si>
    <r>
      <t>LT / m</t>
    </r>
    <r>
      <rPr>
        <vertAlign val="superscript"/>
        <sz val="10"/>
        <color theme="1"/>
        <rFont val="Times New Roman"/>
        <family val="1"/>
      </rPr>
      <t>3</t>
    </r>
  </si>
  <si>
    <t>Stowage factor / Specific gravity conversion</t>
  </si>
  <si>
    <t>Tons per one cub meter:</t>
  </si>
  <si>
    <t>Space occuped by one ton:</t>
  </si>
  <si>
    <t>cub.m / ton</t>
  </si>
  <si>
    <t>cub.f / ton</t>
  </si>
  <si>
    <t>ton / cub.m</t>
  </si>
  <si>
    <t>Ammonium sulphate</t>
  </si>
  <si>
    <t>to</t>
  </si>
  <si>
    <t>Antimony ore ( stibnite) and Residue</t>
  </si>
  <si>
    <t>Barytes</t>
  </si>
  <si>
    <t xml:space="preserve"> </t>
  </si>
  <si>
    <t>Bauxite</t>
  </si>
  <si>
    <t>Borax Anhydrous  (crude or refined)</t>
  </si>
  <si>
    <t>Borax  (Penathydrate Crude, "Rasorite 46")</t>
  </si>
  <si>
    <t>Alumina</t>
  </si>
  <si>
    <t>Alumina , calcined ( Calcined Clay)</t>
  </si>
  <si>
    <t>Alumina Silica</t>
  </si>
  <si>
    <t>Alumina Cilica, pellets</t>
  </si>
  <si>
    <t>Ammonium Nitrate Fertilizers ( Non-hazard)</t>
  </si>
  <si>
    <t>Calcium Nitrate Fertilizer</t>
  </si>
  <si>
    <t>Carborundum</t>
  </si>
  <si>
    <t>Cement</t>
  </si>
  <si>
    <t>Cement clinkers</t>
  </si>
  <si>
    <t>Chamotte</t>
  </si>
  <si>
    <t>Chrome Ore (Chromium Ore )</t>
  </si>
  <si>
    <t>Chrome pellets</t>
  </si>
  <si>
    <t>Clay</t>
  </si>
  <si>
    <t>Coke (coal origin )</t>
  </si>
  <si>
    <t>Colemanite</t>
  </si>
  <si>
    <t>Copper Granules</t>
  </si>
  <si>
    <t>Copper Matte</t>
  </si>
  <si>
    <t>Cryolite</t>
  </si>
  <si>
    <t>Diammonium Phoshate</t>
  </si>
  <si>
    <t>Dolomite</t>
  </si>
  <si>
    <t>Felspar Lump</t>
  </si>
  <si>
    <t>Ferrochrome</t>
  </si>
  <si>
    <t>Ferrochrome, exotermic</t>
  </si>
  <si>
    <t>Ferromanganese</t>
  </si>
  <si>
    <t>Ferromanganese, exotermic</t>
  </si>
  <si>
    <t>Ferronickel</t>
  </si>
  <si>
    <t>Fertilizers without nitrates,non-hazardous</t>
  </si>
  <si>
    <t>Fishmeal (anti-oxidant treated)</t>
  </si>
  <si>
    <t>Fly ash</t>
  </si>
  <si>
    <t>Granulated slag</t>
  </si>
  <si>
    <t>Gypsum</t>
  </si>
  <si>
    <t>Ilmenite sand</t>
  </si>
  <si>
    <t>Iron ore</t>
  </si>
  <si>
    <t>Iron ore pellets</t>
  </si>
  <si>
    <t>Iron pyrites</t>
  </si>
  <si>
    <t>Iron stone</t>
  </si>
  <si>
    <t>Labradorite</t>
  </si>
  <si>
    <t>Lead ore</t>
  </si>
  <si>
    <t>Limestone</t>
  </si>
  <si>
    <t>Magnesia (Deadburned)  (Deadburned</t>
  </si>
  <si>
    <t xml:space="preserve">        Magnesite, Electrofused Magnesia, </t>
  </si>
  <si>
    <t xml:space="preserve">        Magnesite clinker, Magnesia clinker)</t>
  </si>
  <si>
    <t>Magnesite, natural</t>
  </si>
  <si>
    <t>Magnese ore</t>
  </si>
  <si>
    <t>Milorgranite</t>
  </si>
  <si>
    <t>Monoammonium phosphate</t>
  </si>
  <si>
    <t>Muriate of potash</t>
  </si>
  <si>
    <t>Peanuts in shell</t>
  </si>
  <si>
    <t>Pebbles (sea)</t>
  </si>
  <si>
    <t>Pellets (concentrates)</t>
  </si>
  <si>
    <t>Perlite Rock</t>
  </si>
  <si>
    <t>List No.2</t>
  </si>
  <si>
    <t>Phosphate, defluorinated</t>
  </si>
  <si>
    <t>Phosphate rock,calcined</t>
  </si>
  <si>
    <t>Phosphate rock,uncalcined</t>
  </si>
  <si>
    <t>Pig  iron</t>
  </si>
  <si>
    <t>Potash</t>
  </si>
  <si>
    <t>Potassium sulphate</t>
  </si>
  <si>
    <t>Pumice</t>
  </si>
  <si>
    <t>Pyrite</t>
  </si>
  <si>
    <t>Pyrophillite</t>
  </si>
  <si>
    <t>Quartz</t>
  </si>
  <si>
    <t>Quartzite</t>
  </si>
  <si>
    <t>Rasorite anhidrous</t>
  </si>
  <si>
    <t>Rutile sand</t>
  </si>
  <si>
    <t>Salt</t>
  </si>
  <si>
    <t>Salt cake</t>
  </si>
  <si>
    <t>Salt rock</t>
  </si>
  <si>
    <t>Sand (foundry,quarts,silica,potassium felspar)</t>
  </si>
  <si>
    <t>Scrap metal</t>
  </si>
  <si>
    <t>varies</t>
  </si>
  <si>
    <t>Seed cake</t>
  </si>
  <si>
    <t>Soda ach</t>
  </si>
  <si>
    <t>Stainless steel,grinding dust</t>
  </si>
  <si>
    <t>Stonechippings</t>
  </si>
  <si>
    <t>Sugar</t>
  </si>
  <si>
    <t>Sulphate of potash and magnesium</t>
  </si>
  <si>
    <t>Superphospate</t>
  </si>
  <si>
    <t>Taconite pellets</t>
  </si>
  <si>
    <t>Talc</t>
  </si>
  <si>
    <t>Tapioca</t>
  </si>
  <si>
    <t>Urea</t>
  </si>
  <si>
    <t xml:space="preserve"> Vermiculite</t>
  </si>
  <si>
    <t>White quartz</t>
  </si>
  <si>
    <t>Zircon sand</t>
  </si>
  <si>
    <t>GRAIN  -  STOWAGE  FACTORS</t>
  </si>
  <si>
    <t>Cub.ft / LT</t>
  </si>
  <si>
    <t>Cub.m / MT</t>
  </si>
  <si>
    <t>MT / Cub.m</t>
  </si>
  <si>
    <t>Barley</t>
  </si>
  <si>
    <t>Flax</t>
  </si>
  <si>
    <t>Linseed</t>
  </si>
  <si>
    <t>Locust Beans</t>
  </si>
  <si>
    <t>Maize</t>
  </si>
  <si>
    <t>Oats, Clipped</t>
  </si>
  <si>
    <t>Wheat</t>
  </si>
  <si>
    <t>Rise</t>
  </si>
  <si>
    <t>не обработанный</t>
  </si>
  <si>
    <t>65 - 70</t>
  </si>
  <si>
    <t>1.81 - 1.95</t>
  </si>
  <si>
    <t>Cargo</t>
  </si>
  <si>
    <t>48 - 50</t>
  </si>
  <si>
    <t>1.34 - 1.39</t>
  </si>
  <si>
    <t>White</t>
  </si>
  <si>
    <t>50 - 52</t>
  </si>
  <si>
    <t>1.39 - 1.45</t>
  </si>
  <si>
    <t>Broken</t>
  </si>
  <si>
    <t>53 - 56</t>
  </si>
  <si>
    <t>1.48 - 1.56</t>
  </si>
  <si>
    <t>Dark</t>
  </si>
  <si>
    <t>64 - 66</t>
  </si>
  <si>
    <t>1.78 - 1.84</t>
  </si>
  <si>
    <t>Meat</t>
  </si>
  <si>
    <t>65 - 68</t>
  </si>
  <si>
    <t>1.81 - 1.90</t>
  </si>
  <si>
    <t>Bran ( beaten )</t>
  </si>
  <si>
    <t>60 - 62</t>
  </si>
  <si>
    <t>1.67 - 1.73</t>
  </si>
  <si>
    <t>Bran ( unbeaten )</t>
  </si>
  <si>
    <t>70 - 75</t>
  </si>
  <si>
    <t>1.95 - 2.09</t>
  </si>
  <si>
    <r>
      <t>S/F (m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/ MT)</t>
    </r>
  </si>
  <si>
    <r>
      <t>V m</t>
    </r>
    <r>
      <rPr>
        <vertAlign val="superscript"/>
        <sz val="10"/>
        <rFont val="Times New Roman"/>
        <family val="1"/>
        <charset val="204"/>
      </rPr>
      <t>3</t>
    </r>
  </si>
  <si>
    <t>Site of program:</t>
  </si>
  <si>
    <t>Bunker calculation from consumption and distance</t>
  </si>
  <si>
    <t>APPROXIMATE STOWAGE FACTOR</t>
  </si>
  <si>
    <r>
      <t xml:space="preserve">Stowage factors - </t>
    </r>
    <r>
      <rPr>
        <i/>
        <sz val="10"/>
        <rFont val="Times New Roman"/>
        <family val="1"/>
        <charset val="204"/>
      </rPr>
      <t>approximate S/F for many cargoes</t>
    </r>
  </si>
  <si>
    <t>USHOU</t>
  </si>
  <si>
    <t>Time Zone</t>
  </si>
  <si>
    <t>UTC</t>
  </si>
  <si>
    <t>Dept (or Intermediate) date</t>
  </si>
  <si>
    <t>Month</t>
  </si>
  <si>
    <t>Hr</t>
  </si>
  <si>
    <t>Distance to go</t>
  </si>
  <si>
    <t>Arrival port</t>
  </si>
  <si>
    <t>USNOLA</t>
  </si>
  <si>
    <t>REQUIRED SPEED CALCULATION</t>
  </si>
  <si>
    <t xml:space="preserve">Required ETA </t>
  </si>
  <si>
    <t>Required Speed</t>
  </si>
  <si>
    <t>ETA Calculation</t>
  </si>
  <si>
    <t>STM TIME</t>
  </si>
  <si>
    <t>Year</t>
  </si>
  <si>
    <t>* Time Zone: East - "+",  West - "-"</t>
  </si>
  <si>
    <t>Dept port</t>
  </si>
  <si>
    <t>Step of change speed</t>
  </si>
  <si>
    <t>ETA &amp; Required Speed Calculations</t>
  </si>
  <si>
    <t>Depth</t>
  </si>
  <si>
    <t>Shackles length</t>
  </si>
  <si>
    <t>Shackles in water</t>
  </si>
  <si>
    <t>Max Radius of Swing</t>
  </si>
  <si>
    <t>Cables</t>
  </si>
  <si>
    <t>Meters</t>
  </si>
  <si>
    <t>Maximum Radius Of Swing - On Anchor</t>
  </si>
  <si>
    <t>039 17.5</t>
  </si>
  <si>
    <t>,10.75z?hl=ru</t>
  </si>
  <si>
    <t>06 49.8</t>
  </si>
  <si>
    <t>LAT dd mm.m</t>
  </si>
  <si>
    <t>LONG ddd mm.m</t>
  </si>
  <si>
    <t>Google maps</t>
  </si>
  <si>
    <t>Link on Google maps from position</t>
  </si>
  <si>
    <t>https://www.google.ru/maps/dir//</t>
  </si>
  <si>
    <t>Link (copy to browser)</t>
  </si>
  <si>
    <t>Max draft:</t>
  </si>
  <si>
    <t>Shallow contour</t>
  </si>
  <si>
    <t>Safety contour</t>
  </si>
  <si>
    <t>Safety depth</t>
  </si>
  <si>
    <t>Deep contour</t>
  </si>
  <si>
    <t>UKC (10% from draft*):</t>
  </si>
  <si>
    <t>* Usually, but some company have own needs</t>
  </si>
  <si>
    <t>Antigrounding calculations</t>
  </si>
  <si>
    <t>Antigrounding calculations - safety depth, etc</t>
  </si>
  <si>
    <t>USA, English &amp; Russian forms</t>
  </si>
  <si>
    <t>m/v Name</t>
  </si>
  <si>
    <t>Navigation tools.SB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</si>
</sst>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0&quot;⁰&quot;"/>
    <numFmt numFmtId="165" formatCode="0.0"/>
    <numFmt numFmtId="166" formatCode="0.0\ &quot;nm&quot;"/>
    <numFmt numFmtId="167" formatCode="0.0\ &quot;km&quot;"/>
    <numFmt numFmtId="168" formatCode="0.000"/>
    <numFmt numFmtId="169" formatCode="0\ &quot;knots&quot;"/>
    <numFmt numFmtId="170" formatCode="000\⁰"/>
    <numFmt numFmtId="171" formatCode="0.0\ &quot;m/s&quot;"/>
    <numFmt numFmtId="172" formatCode="_(* #,##0.00_);_(* \(#,##0.00\);_(* \-??_);_(@_)"/>
    <numFmt numFmtId="173" formatCode="0\ 000.0"/>
    <numFmt numFmtId="174" formatCode="0.0\°"/>
    <numFmt numFmtId="175" formatCode="0.00&quot; m&quot;"/>
    <numFmt numFmtId="176" formatCode="0.0&quot; cm&quot;"/>
    <numFmt numFmtId="177" formatCode="0.00&quot; s&quot;"/>
    <numFmt numFmtId="178" formatCode="0.0&quot; m&quot;"/>
    <numFmt numFmtId="179" formatCode="0.0&quot; m3&quot;"/>
    <numFmt numFmtId="180" formatCode="0.00&quot; m3&quot;"/>
    <numFmt numFmtId="181" formatCode="0.000000"/>
    <numFmt numFmtId="182" formatCode="0\ &quot;nm&quot;"/>
    <numFmt numFmtId="183" formatCode="dd\ mmm"/>
    <numFmt numFmtId="184" formatCode="0.00&quot; cm&quot;"/>
    <numFmt numFmtId="185" formatCode="[$-409]dd\/mmm\/yyyy;@"/>
    <numFmt numFmtId="186" formatCode="m/d/yy\ h:mm"/>
    <numFmt numFmtId="187" formatCode="0.0&quot; hrs&quot;"/>
    <numFmt numFmtId="188" formatCode="0.00&quot; knts&quot;"/>
    <numFmt numFmtId="189" formatCode="0.00\ &quot;knts&quot;"/>
    <numFmt numFmtId="190" formatCode="hh:mm\ &quot;LT&quot;"/>
    <numFmt numFmtId="191" formatCode="dddd\,\ dd/mmm/yyyy"/>
    <numFmt numFmtId="192" formatCode="0.0&quot; NM&quot;"/>
    <numFmt numFmtId="193" formatCode="0&quot; m&quot;"/>
  </numFmts>
  <fonts count="69">
    <font>
      <sz val="10"/>
      <name val="Arial Cyr"/>
      <charset val="204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Arial Cyr"/>
      <family val="2"/>
      <charset val="204"/>
    </font>
    <font>
      <sz val="8"/>
      <name val="Arial Cyr"/>
      <charset val="204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12"/>
      <color theme="0" tint="-0.499984740745262"/>
      <name val="Times New Roman"/>
      <family val="1"/>
    </font>
    <font>
      <b/>
      <sz val="12"/>
      <color rgb="FFFF0000"/>
      <name val="Times New Roman"/>
      <family val="1"/>
    </font>
    <font>
      <sz val="22"/>
      <name val="Times New Roman"/>
      <family val="1"/>
    </font>
    <font>
      <b/>
      <sz val="16"/>
      <name val="Times New Roman"/>
      <family val="1"/>
    </font>
    <font>
      <sz val="10"/>
      <name val="Arial Cyr"/>
      <charset val="204"/>
    </font>
    <font>
      <b/>
      <sz val="12"/>
      <color rgb="FF000000"/>
      <name val="Times New Roman"/>
      <family val="1"/>
    </font>
    <font>
      <b/>
      <u/>
      <sz val="11"/>
      <color rgb="FF0000FF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 tint="0.49998474074526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ourier New"/>
      <family val="3"/>
    </font>
    <font>
      <b/>
      <sz val="12"/>
      <color theme="0"/>
      <name val="Times New Roman"/>
      <family val="1"/>
    </font>
    <font>
      <b/>
      <sz val="11"/>
      <color theme="0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6"/>
      <color theme="1"/>
      <name val="Times New Roman"/>
      <family val="1"/>
    </font>
    <font>
      <sz val="8"/>
      <color theme="1" tint="0.14999847407452621"/>
      <name val="Times New Roman"/>
      <family val="1"/>
      <charset val="204"/>
    </font>
    <font>
      <b/>
      <sz val="8"/>
      <name val="Times New Roman"/>
      <family val="1"/>
    </font>
    <font>
      <u/>
      <sz val="10"/>
      <color indexed="12"/>
      <name val="Arial"/>
      <family val="2"/>
    </font>
    <font>
      <sz val="10"/>
      <color indexed="12"/>
      <name val="Times New Roman"/>
      <family val="1"/>
    </font>
    <font>
      <b/>
      <sz val="12"/>
      <name val="Times New Roman"/>
      <family val="1"/>
      <charset val="204"/>
    </font>
    <font>
      <sz val="8"/>
      <color theme="1" tint="0.249977111117893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</font>
    <font>
      <i/>
      <sz val="10"/>
      <name val="Arial Cyr"/>
      <charset val="204"/>
    </font>
    <font>
      <b/>
      <sz val="14"/>
      <name val="Times New Roman"/>
      <family val="1"/>
      <charset val="204"/>
    </font>
    <font>
      <sz val="8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8"/>
      <color rgb="FF000000"/>
      <name val="Times New Roman"/>
      <family val="1"/>
    </font>
    <font>
      <sz val="9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sz val="10"/>
      <color theme="1" tint="0.499984740745262"/>
      <name val="Times New Roman"/>
      <family val="1"/>
    </font>
    <font>
      <sz val="11"/>
      <color rgb="FF000000"/>
      <name val="Times New Roman"/>
      <family val="1"/>
    </font>
    <font>
      <sz val="8"/>
      <color theme="1" tint="0.34998626667073579"/>
      <name val="Times New Roman"/>
      <family val="1"/>
    </font>
    <font>
      <sz val="10"/>
      <color rgb="FF000000"/>
      <name val="Times New Roman"/>
      <family val="1"/>
    </font>
    <font>
      <sz val="9"/>
      <color theme="1" tint="0.499984740745262"/>
      <name val="Times New Roman"/>
      <family val="1"/>
    </font>
    <font>
      <u/>
      <sz val="10"/>
      <color indexed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theme="0" tint="-4.9989318521683403E-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FF00"/>
      </patternFill>
    </fill>
    <fill>
      <patternFill patternType="solid">
        <fgColor theme="9" tint="0.79998168889431442"/>
        <bgColor rgb="FFB8CCE4"/>
      </patternFill>
    </fill>
    <fill>
      <patternFill patternType="solid">
        <fgColor theme="9" tint="0.79998168889431442"/>
        <bgColor rgb="FFDBE5F1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Dashed">
        <color theme="1" tint="0.24994659260841701"/>
      </top>
      <bottom/>
      <diagonal/>
    </border>
    <border>
      <left style="mediumDashed">
        <color theme="1" tint="0.24994659260841701"/>
      </left>
      <right/>
      <top/>
      <bottom/>
      <diagonal/>
    </border>
    <border>
      <left style="mediumDashed">
        <color theme="1" tint="0.24994659260841701"/>
      </left>
      <right/>
      <top style="mediumDashed">
        <color theme="1" tint="0.2499465926084170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auto="1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dashed">
        <color auto="1"/>
      </bottom>
      <diagonal/>
    </border>
    <border>
      <left style="double">
        <color indexed="64"/>
      </left>
      <right/>
      <top style="dashed">
        <color auto="1"/>
      </top>
      <bottom style="dashed">
        <color auto="1"/>
      </bottom>
      <diagonal/>
    </border>
    <border>
      <left style="double">
        <color indexed="64"/>
      </left>
      <right style="thin">
        <color indexed="64"/>
      </right>
      <top style="dashed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/>
      <top/>
      <bottom style="double">
        <color theme="1" tint="0.34998626667073579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7" fillId="0" borderId="0"/>
    <xf numFmtId="0" fontId="17" fillId="0" borderId="0"/>
    <xf numFmtId="172" fontId="26" fillId="0" borderId="0" applyFill="0" applyBorder="0" applyAlignment="0" applyProtection="0"/>
    <xf numFmtId="0" fontId="16" fillId="0" borderId="0"/>
    <xf numFmtId="0" fontId="26" fillId="0" borderId="0"/>
    <xf numFmtId="9" fontId="16" fillId="0" borderId="0" applyFont="0" applyFill="0" applyBorder="0" applyAlignment="0" applyProtection="0"/>
    <xf numFmtId="0" fontId="25" fillId="0" borderId="0"/>
    <xf numFmtId="0" fontId="26" fillId="0" borderId="0"/>
    <xf numFmtId="0" fontId="3" fillId="0" borderId="0"/>
    <xf numFmtId="0" fontId="36" fillId="0" borderId="0">
      <alignment horizontal="justify" vertical="justify"/>
    </xf>
    <xf numFmtId="0" fontId="2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60" fillId="0" borderId="0"/>
  </cellStyleXfs>
  <cellXfs count="732">
    <xf numFmtId="0" fontId="0" fillId="0" borderId="0" xfId="0"/>
    <xf numFmtId="0" fontId="9" fillId="3" borderId="0" xfId="0" applyFont="1" applyFill="1" applyBorder="1" applyAlignment="1" applyProtection="1"/>
    <xf numFmtId="0" fontId="9" fillId="0" borderId="0" xfId="0" applyFont="1" applyProtection="1"/>
    <xf numFmtId="0" fontId="9" fillId="2" borderId="0" xfId="0" applyFont="1" applyFill="1" applyBorder="1" applyAlignment="1" applyProtection="1"/>
    <xf numFmtId="0" fontId="9" fillId="0" borderId="1" xfId="0" applyFont="1" applyBorder="1" applyProtection="1"/>
    <xf numFmtId="0" fontId="9" fillId="0" borderId="5" xfId="0" applyFont="1" applyBorder="1" applyProtection="1"/>
    <xf numFmtId="0" fontId="9" fillId="0" borderId="0" xfId="0" applyFont="1" applyBorder="1" applyProtection="1"/>
    <xf numFmtId="0" fontId="9" fillId="0" borderId="4" xfId="0" applyFont="1" applyBorder="1" applyProtection="1"/>
    <xf numFmtId="0" fontId="11" fillId="0" borderId="0" xfId="0" applyFont="1" applyAlignment="1" applyProtection="1">
      <alignment horizontal="right" vertical="center" indent="1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9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horizontal="left" indent="4"/>
    </xf>
    <xf numFmtId="0" fontId="9" fillId="0" borderId="6" xfId="0" applyFont="1" applyBorder="1" applyProtection="1"/>
    <xf numFmtId="0" fontId="9" fillId="0" borderId="7" xfId="0" applyFont="1" applyBorder="1" applyProtection="1"/>
    <xf numFmtId="0" fontId="9" fillId="0" borderId="8" xfId="0" applyFont="1" applyBorder="1" applyProtection="1"/>
    <xf numFmtId="0" fontId="11" fillId="0" borderId="0" xfId="0" applyFont="1" applyBorder="1" applyAlignment="1" applyProtection="1">
      <alignment vertical="top"/>
    </xf>
    <xf numFmtId="0" fontId="9" fillId="3" borderId="0" xfId="0" applyFont="1" applyFill="1" applyBorder="1" applyAlignment="1" applyProtection="1">
      <alignment vertical="center"/>
    </xf>
    <xf numFmtId="0" fontId="9" fillId="0" borderId="21" xfId="0" applyFont="1" applyBorder="1" applyAlignment="1" applyProtection="1">
      <alignment horizontal="center" wrapText="1"/>
    </xf>
    <xf numFmtId="0" fontId="9" fillId="0" borderId="21" xfId="0" applyFont="1" applyBorder="1" applyProtection="1"/>
    <xf numFmtId="0" fontId="9" fillId="0" borderId="21" xfId="0" applyFont="1" applyBorder="1" applyAlignment="1" applyProtection="1">
      <alignment horizontal="right" vertical="justify"/>
    </xf>
    <xf numFmtId="0" fontId="10" fillId="0" borderId="22" xfId="0" applyFont="1" applyBorder="1" applyAlignment="1" applyProtection="1">
      <alignment horizontal="right" vertical="center"/>
    </xf>
    <xf numFmtId="0" fontId="9" fillId="0" borderId="22" xfId="0" applyFont="1" applyBorder="1" applyProtection="1"/>
    <xf numFmtId="0" fontId="9" fillId="0" borderId="23" xfId="0" applyFont="1" applyBorder="1" applyProtection="1"/>
    <xf numFmtId="0" fontId="10" fillId="0" borderId="0" xfId="0" applyFont="1" applyBorder="1" applyAlignment="1" applyProtection="1">
      <alignment horizontal="right" vertical="top" indent="1"/>
    </xf>
    <xf numFmtId="0" fontId="10" fillId="0" borderId="2" xfId="0" applyFont="1" applyBorder="1" applyAlignment="1" applyProtection="1">
      <alignment vertical="center"/>
    </xf>
    <xf numFmtId="0" fontId="18" fillId="0" borderId="0" xfId="5" applyFont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9" fillId="0" borderId="0" xfId="5" applyFont="1" applyAlignment="1">
      <alignment horizontal="left" vertical="center"/>
    </xf>
    <xf numFmtId="0" fontId="9" fillId="5" borderId="27" xfId="5" applyFont="1" applyFill="1" applyBorder="1" applyAlignment="1">
      <alignment horizontal="center" vertical="center"/>
    </xf>
    <xf numFmtId="168" fontId="21" fillId="0" borderId="0" xfId="5" applyNumberFormat="1" applyFont="1" applyAlignment="1">
      <alignment horizontal="left" vertical="center"/>
    </xf>
    <xf numFmtId="168" fontId="20" fillId="0" borderId="0" xfId="5" applyNumberFormat="1" applyFont="1" applyAlignment="1">
      <alignment horizontal="left" vertical="center"/>
    </xf>
    <xf numFmtId="168" fontId="20" fillId="0" borderId="0" xfId="5" applyNumberFormat="1" applyFont="1" applyAlignment="1">
      <alignment vertical="center"/>
    </xf>
    <xf numFmtId="168" fontId="20" fillId="0" borderId="38" xfId="5" applyNumberFormat="1" applyFont="1" applyBorder="1" applyAlignment="1">
      <alignment horizontal="left" vertical="center"/>
    </xf>
    <xf numFmtId="1" fontId="20" fillId="0" borderId="32" xfId="5" applyNumberFormat="1" applyFont="1" applyBorder="1" applyAlignment="1">
      <alignment horizontal="center" vertical="center"/>
    </xf>
    <xf numFmtId="168" fontId="20" fillId="0" borderId="33" xfId="5" applyNumberFormat="1" applyFont="1" applyBorder="1" applyAlignment="1">
      <alignment vertical="center"/>
    </xf>
    <xf numFmtId="1" fontId="20" fillId="0" borderId="34" xfId="5" applyNumberFormat="1" applyFont="1" applyBorder="1" applyAlignment="1">
      <alignment horizontal="center" vertical="center"/>
    </xf>
    <xf numFmtId="168" fontId="20" fillId="0" borderId="36" xfId="5" applyNumberFormat="1" applyFont="1" applyBorder="1" applyAlignment="1">
      <alignment vertical="center"/>
    </xf>
    <xf numFmtId="1" fontId="20" fillId="0" borderId="30" xfId="5" applyNumberFormat="1" applyFont="1" applyBorder="1" applyAlignment="1">
      <alignment horizontal="center" vertical="center"/>
    </xf>
    <xf numFmtId="1" fontId="20" fillId="0" borderId="28" xfId="5" applyNumberFormat="1" applyFont="1" applyBorder="1" applyAlignment="1">
      <alignment horizontal="center" vertical="center"/>
    </xf>
    <xf numFmtId="2" fontId="20" fillId="0" borderId="32" xfId="5" applyNumberFormat="1" applyFont="1" applyBorder="1" applyAlignment="1">
      <alignment horizontal="center" vertical="center"/>
    </xf>
    <xf numFmtId="2" fontId="20" fillId="0" borderId="34" xfId="5" applyNumberFormat="1" applyFont="1" applyBorder="1" applyAlignment="1">
      <alignment horizontal="center" vertical="center"/>
    </xf>
    <xf numFmtId="168" fontId="20" fillId="0" borderId="24" xfId="5" applyNumberFormat="1" applyFont="1" applyBorder="1" applyAlignment="1">
      <alignment vertical="center"/>
    </xf>
    <xf numFmtId="0" fontId="20" fillId="0" borderId="29" xfId="5" applyFont="1" applyBorder="1" applyAlignment="1">
      <alignment vertical="center"/>
    </xf>
    <xf numFmtId="168" fontId="20" fillId="0" borderId="32" xfId="5" applyNumberFormat="1" applyFont="1" applyBorder="1" applyAlignment="1">
      <alignment vertical="center"/>
    </xf>
    <xf numFmtId="168" fontId="20" fillId="0" borderId="35" xfId="5" applyNumberFormat="1" applyFont="1" applyBorder="1" applyAlignment="1">
      <alignment vertical="center"/>
    </xf>
    <xf numFmtId="168" fontId="20" fillId="0" borderId="34" xfId="5" applyNumberFormat="1" applyFont="1" applyBorder="1" applyAlignment="1">
      <alignment vertical="center"/>
    </xf>
    <xf numFmtId="168" fontId="20" fillId="0" borderId="27" xfId="5" applyNumberFormat="1" applyFont="1" applyBorder="1" applyAlignment="1">
      <alignment horizontal="left" vertical="center"/>
    </xf>
    <xf numFmtId="0" fontId="23" fillId="0" borderId="0" xfId="5" applyFont="1" applyAlignment="1">
      <alignment horizontal="left" vertical="center"/>
    </xf>
    <xf numFmtId="1" fontId="20" fillId="0" borderId="27" xfId="5" applyNumberFormat="1" applyFont="1" applyBorder="1" applyAlignment="1">
      <alignment horizontal="left" vertical="center"/>
    </xf>
    <xf numFmtId="1" fontId="20" fillId="0" borderId="26" xfId="5" applyNumberFormat="1" applyFont="1" applyBorder="1" applyAlignment="1">
      <alignment horizontal="center" vertical="center"/>
    </xf>
    <xf numFmtId="1" fontId="20" fillId="0" borderId="37" xfId="5" applyNumberFormat="1" applyFont="1" applyBorder="1" applyAlignment="1">
      <alignment horizontal="center" vertical="center"/>
    </xf>
    <xf numFmtId="0" fontId="9" fillId="5" borderId="27" xfId="5" applyFont="1" applyFill="1" applyBorder="1" applyAlignment="1" applyProtection="1">
      <alignment horizontal="left" vertical="center"/>
    </xf>
    <xf numFmtId="0" fontId="19" fillId="0" borderId="0" xfId="5" applyFont="1" applyAlignment="1" applyProtection="1">
      <alignment horizontal="left" vertical="center"/>
    </xf>
    <xf numFmtId="0" fontId="17" fillId="0" borderId="0" xfId="5" applyFont="1" applyAlignment="1" applyProtection="1">
      <alignment horizontal="left" vertical="center"/>
    </xf>
    <xf numFmtId="0" fontId="9" fillId="5" borderId="27" xfId="5" applyFont="1" applyFill="1" applyBorder="1" applyAlignment="1" applyProtection="1">
      <alignment horizontal="left" vertical="center" indent="1"/>
    </xf>
    <xf numFmtId="0" fontId="9" fillId="0" borderId="31" xfId="5" applyFont="1" applyBorder="1" applyAlignment="1" applyProtection="1">
      <alignment vertical="center"/>
    </xf>
    <xf numFmtId="0" fontId="11" fillId="0" borderId="31" xfId="5" applyFont="1" applyBorder="1" applyAlignment="1" applyProtection="1">
      <alignment vertical="center"/>
    </xf>
    <xf numFmtId="0" fontId="9" fillId="0" borderId="0" xfId="5" applyFont="1" applyBorder="1" applyAlignment="1" applyProtection="1">
      <alignment vertical="center"/>
    </xf>
    <xf numFmtId="0" fontId="11" fillId="0" borderId="0" xfId="5" applyFont="1" applyBorder="1" applyAlignment="1" applyProtection="1">
      <alignment vertical="center"/>
    </xf>
    <xf numFmtId="2" fontId="21" fillId="0" borderId="0" xfId="5" applyNumberFormat="1" applyFont="1" applyAlignment="1" applyProtection="1">
      <alignment horizontal="center" vertical="center"/>
    </xf>
    <xf numFmtId="0" fontId="22" fillId="0" borderId="0" xfId="5" applyFont="1" applyAlignment="1" applyProtection="1">
      <alignment horizontal="left" vertical="center"/>
    </xf>
    <xf numFmtId="170" fontId="17" fillId="0" borderId="0" xfId="5" applyNumberFormat="1" applyFont="1" applyAlignment="1" applyProtection="1">
      <alignment horizontal="left" vertical="center"/>
    </xf>
    <xf numFmtId="0" fontId="27" fillId="0" borderId="39" xfId="0" applyFont="1" applyBorder="1"/>
    <xf numFmtId="0" fontId="27" fillId="0" borderId="41" xfId="0" applyFont="1" applyBorder="1"/>
    <xf numFmtId="0" fontId="27" fillId="0" borderId="11" xfId="0" applyFont="1" applyBorder="1"/>
    <xf numFmtId="0" fontId="27" fillId="0" borderId="42" xfId="0" applyFont="1" applyBorder="1"/>
    <xf numFmtId="0" fontId="27" fillId="0" borderId="56" xfId="0" applyFont="1" applyBorder="1"/>
    <xf numFmtId="0" fontId="27" fillId="0" borderId="57" xfId="0" applyFont="1" applyBorder="1"/>
    <xf numFmtId="0" fontId="27" fillId="0" borderId="58" xfId="0" applyFont="1" applyBorder="1"/>
    <xf numFmtId="0" fontId="28" fillId="0" borderId="42" xfId="0" applyFont="1" applyBorder="1" applyAlignment="1">
      <alignment vertical="center" wrapText="1"/>
    </xf>
    <xf numFmtId="0" fontId="27" fillId="0" borderId="0" xfId="0" applyFont="1" applyBorder="1" applyAlignment="1">
      <alignment horizontal="center"/>
    </xf>
    <xf numFmtId="0" fontId="30" fillId="0" borderId="42" xfId="0" applyFont="1" applyBorder="1" applyAlignment="1">
      <alignment vertical="top"/>
    </xf>
    <xf numFmtId="0" fontId="28" fillId="0" borderId="41" xfId="0" applyFont="1" applyBorder="1" applyAlignment="1">
      <alignment vertical="center" wrapText="1"/>
    </xf>
    <xf numFmtId="0" fontId="17" fillId="0" borderId="39" xfId="5" applyFont="1" applyBorder="1" applyAlignment="1">
      <alignment horizontal="left" vertical="center"/>
    </xf>
    <xf numFmtId="0" fontId="19" fillId="0" borderId="41" xfId="5" applyFont="1" applyBorder="1" applyAlignment="1">
      <alignment horizontal="left" vertical="center"/>
    </xf>
    <xf numFmtId="0" fontId="17" fillId="0" borderId="11" xfId="5" applyFont="1" applyBorder="1" applyAlignment="1">
      <alignment horizontal="left" vertical="center"/>
    </xf>
    <xf numFmtId="0" fontId="9" fillId="0" borderId="42" xfId="5" applyFont="1" applyBorder="1" applyAlignment="1">
      <alignment horizontal="left" vertical="center"/>
    </xf>
    <xf numFmtId="0" fontId="17" fillId="0" borderId="56" xfId="5" applyFont="1" applyBorder="1" applyAlignment="1">
      <alignment horizontal="left" vertical="center"/>
    </xf>
    <xf numFmtId="0" fontId="9" fillId="0" borderId="57" xfId="5" applyFont="1" applyBorder="1" applyAlignment="1">
      <alignment horizontal="left" vertical="center"/>
    </xf>
    <xf numFmtId="0" fontId="9" fillId="0" borderId="58" xfId="5" applyFont="1" applyBorder="1" applyAlignment="1">
      <alignment horizontal="left" vertical="center"/>
    </xf>
    <xf numFmtId="0" fontId="17" fillId="0" borderId="41" xfId="5" applyFont="1" applyBorder="1" applyAlignment="1">
      <alignment vertical="center"/>
    </xf>
    <xf numFmtId="0" fontId="17" fillId="0" borderId="42" xfId="5" applyFont="1" applyBorder="1" applyAlignment="1">
      <alignment horizontal="left" vertical="center"/>
    </xf>
    <xf numFmtId="0" fontId="17" fillId="0" borderId="57" xfId="5" applyFont="1" applyBorder="1" applyAlignment="1">
      <alignment horizontal="left" vertical="center"/>
    </xf>
    <xf numFmtId="0" fontId="17" fillId="0" borderId="58" xfId="5" applyFont="1" applyBorder="1" applyAlignment="1">
      <alignment horizontal="left" vertical="center"/>
    </xf>
    <xf numFmtId="0" fontId="19" fillId="0" borderId="39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56" xfId="5" applyFont="1" applyBorder="1" applyAlignment="1">
      <alignment horizontal="left" vertical="center"/>
    </xf>
    <xf numFmtId="0" fontId="19" fillId="0" borderId="41" xfId="5" applyFont="1" applyBorder="1" applyAlignment="1">
      <alignment horizontal="center" vertical="center"/>
    </xf>
    <xf numFmtId="164" fontId="11" fillId="6" borderId="12" xfId="0" applyNumberFormat="1" applyFont="1" applyFill="1" applyBorder="1" applyAlignment="1" applyProtection="1">
      <alignment horizontal="center" vertical="center"/>
      <protection locked="0"/>
    </xf>
    <xf numFmtId="164" fontId="11" fillId="6" borderId="13" xfId="0" applyNumberFormat="1" applyFont="1" applyFill="1" applyBorder="1" applyAlignment="1" applyProtection="1">
      <alignment horizontal="center" vertical="center"/>
      <protection locked="0"/>
    </xf>
    <xf numFmtId="164" fontId="11" fillId="6" borderId="14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NumberFormat="1" applyFont="1" applyFill="1" applyBorder="1" applyAlignment="1" applyProtection="1">
      <alignment horizontal="center" vertical="center"/>
      <protection locked="0"/>
    </xf>
    <xf numFmtId="164" fontId="12" fillId="4" borderId="16" xfId="0" applyNumberFormat="1" applyFont="1" applyFill="1" applyBorder="1" applyAlignment="1" applyProtection="1">
      <alignment horizontal="center" vertical="center"/>
    </xf>
    <xf numFmtId="164" fontId="12" fillId="4" borderId="15" xfId="0" applyNumberFormat="1" applyFont="1" applyFill="1" applyBorder="1" applyAlignment="1" applyProtection="1">
      <alignment horizontal="center" vertical="center"/>
    </xf>
    <xf numFmtId="0" fontId="12" fillId="4" borderId="17" xfId="0" applyFont="1" applyFill="1" applyBorder="1" applyAlignment="1" applyProtection="1">
      <alignment horizontal="center" vertical="center"/>
    </xf>
    <xf numFmtId="0" fontId="12" fillId="4" borderId="9" xfId="0" applyFont="1" applyFill="1" applyBorder="1" applyAlignment="1" applyProtection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168" fontId="19" fillId="6" borderId="9" xfId="5" applyNumberFormat="1" applyFont="1" applyFill="1" applyBorder="1" applyAlignment="1" applyProtection="1">
      <alignment horizontal="center" vertical="center"/>
      <protection locked="0"/>
    </xf>
    <xf numFmtId="174" fontId="19" fillId="6" borderId="9" xfId="5" applyNumberFormat="1" applyFont="1" applyFill="1" applyBorder="1" applyAlignment="1" applyProtection="1">
      <alignment horizontal="center" vertical="center"/>
      <protection locked="0"/>
    </xf>
    <xf numFmtId="168" fontId="34" fillId="7" borderId="9" xfId="0" applyNumberFormat="1" applyFont="1" applyFill="1" applyBorder="1" applyAlignment="1" applyProtection="1">
      <alignment horizontal="center" vertical="center"/>
      <protection hidden="1"/>
    </xf>
    <xf numFmtId="2" fontId="34" fillId="6" borderId="9" xfId="0" applyNumberFormat="1" applyFont="1" applyFill="1" applyBorder="1" applyAlignment="1" applyProtection="1">
      <alignment horizontal="center" vertical="center"/>
      <protection locked="0"/>
    </xf>
    <xf numFmtId="173" fontId="34" fillId="6" borderId="45" xfId="0" applyNumberFormat="1" applyFont="1" applyFill="1" applyBorder="1" applyAlignment="1" applyProtection="1">
      <alignment horizontal="center" vertical="center"/>
      <protection locked="0"/>
    </xf>
    <xf numFmtId="173" fontId="34" fillId="7" borderId="45" xfId="0" applyNumberFormat="1" applyFont="1" applyFill="1" applyBorder="1" applyAlignment="1" applyProtection="1">
      <alignment horizontal="center" vertical="center"/>
      <protection hidden="1"/>
    </xf>
    <xf numFmtId="173" fontId="34" fillId="6" borderId="48" xfId="0" applyNumberFormat="1" applyFont="1" applyFill="1" applyBorder="1" applyAlignment="1" applyProtection="1">
      <alignment horizontal="center" vertical="center"/>
      <protection locked="0"/>
    </xf>
    <xf numFmtId="173" fontId="34" fillId="7" borderId="48" xfId="0" applyNumberFormat="1" applyFont="1" applyFill="1" applyBorder="1" applyAlignment="1" applyProtection="1">
      <alignment horizontal="center" vertical="center"/>
      <protection hidden="1"/>
    </xf>
    <xf numFmtId="173" fontId="34" fillId="7" borderId="9" xfId="0" applyNumberFormat="1" applyFont="1" applyFill="1" applyBorder="1" applyAlignment="1" applyProtection="1">
      <alignment horizontal="center" vertical="center"/>
      <protection hidden="1"/>
    </xf>
    <xf numFmtId="165" fontId="19" fillId="6" borderId="27" xfId="5" applyNumberFormat="1" applyFont="1" applyFill="1" applyBorder="1" applyAlignment="1" applyProtection="1">
      <alignment horizontal="center" vertical="center"/>
      <protection locked="0"/>
    </xf>
    <xf numFmtId="175" fontId="19" fillId="6" borderId="9" xfId="5" applyNumberFormat="1" applyFont="1" applyFill="1" applyBorder="1" applyAlignment="1" applyProtection="1">
      <alignment horizontal="center" vertical="center"/>
      <protection locked="0"/>
    </xf>
    <xf numFmtId="178" fontId="19" fillId="6" borderId="27" xfId="5" applyNumberFormat="1" applyFont="1" applyFill="1" applyBorder="1" applyAlignment="1" applyProtection="1">
      <alignment horizontal="center" vertical="center"/>
      <protection locked="0"/>
    </xf>
    <xf numFmtId="176" fontId="19" fillId="8" borderId="9" xfId="5" applyNumberFormat="1" applyFont="1" applyFill="1" applyBorder="1" applyAlignment="1" applyProtection="1">
      <alignment horizontal="center" vertical="center"/>
      <protection hidden="1"/>
    </xf>
    <xf numFmtId="168" fontId="19" fillId="8" borderId="9" xfId="5" applyNumberFormat="1" applyFont="1" applyFill="1" applyBorder="1" applyAlignment="1" applyProtection="1">
      <alignment horizontal="center" vertical="center"/>
      <protection hidden="1"/>
    </xf>
    <xf numFmtId="165" fontId="19" fillId="9" borderId="27" xfId="5" applyNumberFormat="1" applyFont="1" applyFill="1" applyBorder="1" applyAlignment="1" applyProtection="1">
      <alignment horizontal="center" vertical="center"/>
      <protection hidden="1"/>
    </xf>
    <xf numFmtId="167" fontId="19" fillId="9" borderId="25" xfId="5" applyNumberFormat="1" applyFont="1" applyFill="1" applyBorder="1" applyAlignment="1" applyProtection="1">
      <alignment horizontal="center" vertical="center"/>
      <protection hidden="1"/>
    </xf>
    <xf numFmtId="178" fontId="19" fillId="9" borderId="27" xfId="5" applyNumberFormat="1" applyFont="1" applyFill="1" applyBorder="1" applyAlignment="1" applyProtection="1">
      <alignment horizontal="center" vertical="center"/>
      <protection hidden="1"/>
    </xf>
    <xf numFmtId="166" fontId="19" fillId="9" borderId="25" xfId="5" applyNumberFormat="1" applyFont="1" applyFill="1" applyBorder="1" applyAlignment="1" applyProtection="1">
      <alignment horizontal="center" vertical="center"/>
      <protection hidden="1"/>
    </xf>
    <xf numFmtId="1" fontId="19" fillId="6" borderId="27" xfId="5" applyNumberFormat="1" applyFont="1" applyFill="1" applyBorder="1" applyAlignment="1" applyProtection="1">
      <alignment horizontal="center" vertical="center"/>
      <protection locked="0"/>
    </xf>
    <xf numFmtId="0" fontId="17" fillId="0" borderId="0" xfId="5" applyFont="1" applyBorder="1" applyAlignment="1">
      <alignment horizontal="left" vertical="center"/>
    </xf>
    <xf numFmtId="180" fontId="19" fillId="9" borderId="68" xfId="5" applyNumberFormat="1" applyFont="1" applyFill="1" applyBorder="1" applyAlignment="1" applyProtection="1">
      <alignment horizontal="center" vertical="center"/>
      <protection hidden="1"/>
    </xf>
    <xf numFmtId="180" fontId="19" fillId="9" borderId="69" xfId="5" applyNumberFormat="1" applyFont="1" applyFill="1" applyBorder="1" applyAlignment="1" applyProtection="1">
      <alignment horizontal="center" vertical="center"/>
      <protection hidden="1"/>
    </xf>
    <xf numFmtId="180" fontId="21" fillId="9" borderId="25" xfId="5" applyNumberFormat="1" applyFont="1" applyFill="1" applyBorder="1" applyAlignment="1" applyProtection="1">
      <alignment horizontal="center" vertical="center"/>
      <protection hidden="1"/>
    </xf>
    <xf numFmtId="180" fontId="21" fillId="9" borderId="69" xfId="5" applyNumberFormat="1" applyFont="1" applyFill="1" applyBorder="1" applyAlignment="1" applyProtection="1">
      <alignment horizontal="center" vertical="center"/>
      <protection hidden="1"/>
    </xf>
    <xf numFmtId="0" fontId="17" fillId="0" borderId="70" xfId="5" applyFont="1" applyBorder="1" applyAlignment="1">
      <alignment horizontal="left" vertical="center"/>
    </xf>
    <xf numFmtId="180" fontId="19" fillId="9" borderId="67" xfId="5" applyNumberFormat="1" applyFont="1" applyFill="1" applyBorder="1" applyAlignment="1" applyProtection="1">
      <alignment horizontal="center" vertical="center"/>
      <protection hidden="1"/>
    </xf>
    <xf numFmtId="180" fontId="19" fillId="9" borderId="25" xfId="5" applyNumberFormat="1" applyFont="1" applyFill="1" applyBorder="1" applyAlignment="1" applyProtection="1">
      <alignment horizontal="center" vertical="center"/>
      <protection hidden="1"/>
    </xf>
    <xf numFmtId="180" fontId="19" fillId="6" borderId="27" xfId="5" applyNumberFormat="1" applyFont="1" applyFill="1" applyBorder="1" applyAlignment="1" applyProtection="1">
      <alignment horizontal="center" vertical="center"/>
      <protection locked="0"/>
    </xf>
    <xf numFmtId="0" fontId="17" fillId="0" borderId="41" xfId="5" applyFont="1" applyBorder="1" applyAlignment="1">
      <alignment horizontal="left" vertical="center"/>
    </xf>
    <xf numFmtId="179" fontId="19" fillId="9" borderId="67" xfId="5" applyNumberFormat="1" applyFont="1" applyFill="1" applyBorder="1" applyAlignment="1" applyProtection="1">
      <alignment horizontal="center" vertical="center"/>
      <protection hidden="1"/>
    </xf>
    <xf numFmtId="0" fontId="9" fillId="0" borderId="41" xfId="5" applyFont="1" applyBorder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0" fontId="21" fillId="0" borderId="0" xfId="13" applyFont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1" xfId="13" applyFont="1" applyBorder="1" applyAlignment="1">
      <alignment horizontal="center" vertical="center"/>
    </xf>
    <xf numFmtId="0" fontId="21" fillId="0" borderId="55" xfId="13" applyFont="1" applyBorder="1" applyAlignment="1">
      <alignment horizontal="center" vertical="center"/>
    </xf>
    <xf numFmtId="0" fontId="21" fillId="0" borderId="45" xfId="13" applyFont="1" applyBorder="1" applyAlignment="1">
      <alignment horizontal="center" vertical="center"/>
    </xf>
    <xf numFmtId="0" fontId="21" fillId="0" borderId="72" xfId="13" applyFont="1" applyBorder="1" applyAlignment="1">
      <alignment horizontal="center" vertical="center"/>
    </xf>
    <xf numFmtId="0" fontId="21" fillId="0" borderId="44" xfId="13" applyFont="1" applyBorder="1" applyAlignment="1">
      <alignment horizontal="center" vertical="center"/>
    </xf>
    <xf numFmtId="0" fontId="21" fillId="0" borderId="48" xfId="13" applyFont="1" applyBorder="1" applyAlignment="1">
      <alignment horizontal="center" vertical="center"/>
    </xf>
    <xf numFmtId="0" fontId="21" fillId="0" borderId="73" xfId="13" applyFont="1" applyBorder="1" applyAlignment="1">
      <alignment horizontal="center" vertical="center"/>
    </xf>
    <xf numFmtId="0" fontId="21" fillId="0" borderId="47" xfId="13" applyFont="1" applyBorder="1" applyAlignment="1">
      <alignment horizontal="center" vertical="center"/>
    </xf>
    <xf numFmtId="0" fontId="21" fillId="0" borderId="53" xfId="13" applyFont="1" applyBorder="1" applyAlignment="1">
      <alignment horizontal="center" vertical="center"/>
    </xf>
    <xf numFmtId="0" fontId="21" fillId="0" borderId="74" xfId="13" applyFont="1" applyBorder="1" applyAlignment="1">
      <alignment horizontal="center" vertical="center"/>
    </xf>
    <xf numFmtId="0" fontId="21" fillId="0" borderId="52" xfId="13" applyFont="1" applyBorder="1" applyAlignment="1">
      <alignment horizontal="center" vertical="center"/>
    </xf>
    <xf numFmtId="0" fontId="37" fillId="0" borderId="0" xfId="14" applyFont="1"/>
    <xf numFmtId="165" fontId="37" fillId="0" borderId="55" xfId="14" applyNumberFormat="1" applyFont="1" applyBorder="1" applyAlignment="1">
      <alignment horizontal="center" vertical="center"/>
    </xf>
    <xf numFmtId="0" fontId="34" fillId="4" borderId="9" xfId="14" applyFont="1" applyFill="1" applyBorder="1" applyAlignment="1">
      <alignment horizontal="center" vertical="center"/>
    </xf>
    <xf numFmtId="0" fontId="34" fillId="0" borderId="9" xfId="14" applyFont="1" applyFill="1" applyBorder="1" applyAlignment="1">
      <alignment horizontal="center" vertical="center"/>
    </xf>
    <xf numFmtId="0" fontId="37" fillId="0" borderId="0" xfId="14" applyFont="1" applyBorder="1" applyAlignment="1">
      <alignment horizontal="left" vertical="center" indent="1"/>
    </xf>
    <xf numFmtId="165" fontId="37" fillId="0" borderId="0" xfId="14" applyNumberFormat="1" applyFont="1" applyBorder="1" applyAlignment="1">
      <alignment horizontal="center" vertical="center"/>
    </xf>
    <xf numFmtId="0" fontId="34" fillId="0" borderId="0" xfId="14" applyFont="1" applyBorder="1" applyAlignment="1">
      <alignment horizontal="center" vertical="center"/>
    </xf>
    <xf numFmtId="0" fontId="34" fillId="0" borderId="0" xfId="14" applyFont="1" applyFill="1" applyBorder="1" applyAlignment="1">
      <alignment horizontal="center" vertical="center"/>
    </xf>
    <xf numFmtId="0" fontId="37" fillId="0" borderId="0" xfId="14" applyFont="1" applyBorder="1"/>
    <xf numFmtId="0" fontId="37" fillId="0" borderId="0" xfId="14" applyFont="1" applyBorder="1" applyAlignment="1">
      <alignment vertical="center"/>
    </xf>
    <xf numFmtId="0" fontId="34" fillId="0" borderId="0" xfId="14" applyFont="1" applyBorder="1"/>
    <xf numFmtId="0" fontId="34" fillId="0" borderId="0" xfId="14" applyFont="1" applyFill="1" applyBorder="1"/>
    <xf numFmtId="0" fontId="37" fillId="4" borderId="75" xfId="14" applyFont="1" applyFill="1" applyBorder="1"/>
    <xf numFmtId="0" fontId="37" fillId="4" borderId="78" xfId="14" applyFont="1" applyFill="1" applyBorder="1"/>
    <xf numFmtId="0" fontId="37" fillId="4" borderId="80" xfId="14" applyFont="1" applyFill="1" applyBorder="1"/>
    <xf numFmtId="0" fontId="37" fillId="4" borderId="81" xfId="14" applyFont="1" applyFill="1" applyBorder="1"/>
    <xf numFmtId="0" fontId="37" fillId="4" borderId="82" xfId="14" applyFont="1" applyFill="1" applyBorder="1"/>
    <xf numFmtId="0" fontId="37" fillId="4" borderId="77" xfId="14" applyFont="1" applyFill="1" applyBorder="1"/>
    <xf numFmtId="0" fontId="37" fillId="4" borderId="79" xfId="14" applyFont="1" applyFill="1" applyBorder="1"/>
    <xf numFmtId="0" fontId="37" fillId="4" borderId="76" xfId="14" applyFont="1" applyFill="1" applyBorder="1"/>
    <xf numFmtId="165" fontId="40" fillId="11" borderId="83" xfId="14" applyNumberFormat="1" applyFont="1" applyFill="1" applyBorder="1" applyAlignment="1">
      <alignment horizontal="center" vertical="center"/>
    </xf>
    <xf numFmtId="165" fontId="40" fillId="11" borderId="84" xfId="14" applyNumberFormat="1" applyFont="1" applyFill="1" applyBorder="1" applyAlignment="1">
      <alignment horizontal="center" vertical="center"/>
    </xf>
    <xf numFmtId="0" fontId="33" fillId="4" borderId="9" xfId="14" applyFont="1" applyFill="1" applyBorder="1" applyAlignment="1">
      <alignment horizontal="left" vertical="center" indent="1"/>
    </xf>
    <xf numFmtId="0" fontId="33" fillId="4" borderId="9" xfId="14" applyFont="1" applyFill="1" applyBorder="1" applyAlignment="1">
      <alignment horizontal="center" vertical="center"/>
    </xf>
    <xf numFmtId="170" fontId="19" fillId="0" borderId="0" xfId="5" applyNumberFormat="1" applyFont="1" applyAlignment="1" applyProtection="1">
      <alignment horizontal="left" vertical="center"/>
    </xf>
    <xf numFmtId="0" fontId="22" fillId="0" borderId="0" xfId="5" quotePrefix="1" applyFont="1" applyAlignment="1" applyProtection="1">
      <alignment horizontal="left" vertical="center"/>
    </xf>
    <xf numFmtId="168" fontId="23" fillId="0" borderId="0" xfId="5" applyNumberFormat="1" applyFont="1" applyAlignment="1">
      <alignment horizontal="left" vertical="center"/>
    </xf>
    <xf numFmtId="0" fontId="19" fillId="0" borderId="45" xfId="13" applyFont="1" applyBorder="1" applyAlignment="1">
      <alignment horizontal="left" vertical="center" indent="1"/>
    </xf>
    <xf numFmtId="0" fontId="19" fillId="0" borderId="48" xfId="13" applyFont="1" applyBorder="1" applyAlignment="1">
      <alignment horizontal="left" vertical="center" indent="1"/>
    </xf>
    <xf numFmtId="0" fontId="19" fillId="0" borderId="53" xfId="13" applyFont="1" applyBorder="1" applyAlignment="1">
      <alignment horizontal="left" vertical="center" indent="1"/>
    </xf>
    <xf numFmtId="0" fontId="21" fillId="4" borderId="0" xfId="13" applyFont="1" applyFill="1" applyAlignment="1">
      <alignment horizontal="center" vertical="center"/>
    </xf>
    <xf numFmtId="0" fontId="19" fillId="4" borderId="9" xfId="13" applyFont="1" applyFill="1" applyBorder="1" applyAlignment="1">
      <alignment horizontal="center" vertical="center"/>
    </xf>
    <xf numFmtId="20" fontId="19" fillId="0" borderId="45" xfId="13" applyNumberFormat="1" applyFont="1" applyBorder="1" applyAlignment="1">
      <alignment horizontal="center" vertical="center"/>
    </xf>
    <xf numFmtId="20" fontId="19" fillId="0" borderId="48" xfId="13" applyNumberFormat="1" applyFont="1" applyBorder="1" applyAlignment="1">
      <alignment horizontal="center" vertical="center"/>
    </xf>
    <xf numFmtId="20" fontId="19" fillId="0" borderId="53" xfId="13" applyNumberFormat="1" applyFont="1" applyBorder="1" applyAlignment="1">
      <alignment horizontal="center" vertical="center"/>
    </xf>
    <xf numFmtId="0" fontId="37" fillId="4" borderId="0" xfId="14" applyFont="1" applyFill="1"/>
    <xf numFmtId="0" fontId="33" fillId="4" borderId="0" xfId="14" applyFont="1" applyFill="1"/>
    <xf numFmtId="0" fontId="34" fillId="0" borderId="0" xfId="14" applyFont="1" applyBorder="1" applyAlignment="1">
      <alignment horizontal="left" vertical="center"/>
    </xf>
    <xf numFmtId="0" fontId="39" fillId="11" borderId="91" xfId="14" applyFont="1" applyFill="1" applyBorder="1" applyAlignment="1">
      <alignment horizontal="center" vertical="center"/>
    </xf>
    <xf numFmtId="0" fontId="33" fillId="0" borderId="0" xfId="15" applyFont="1" applyAlignment="1" applyProtection="1">
      <alignment vertical="center"/>
    </xf>
    <xf numFmtId="0" fontId="33" fillId="4" borderId="112" xfId="15" applyFont="1" applyFill="1" applyBorder="1" applyAlignment="1" applyProtection="1">
      <alignment horizontal="center" vertical="center"/>
    </xf>
    <xf numFmtId="0" fontId="33" fillId="4" borderId="113" xfId="15" applyFont="1" applyFill="1" applyBorder="1" applyAlignment="1" applyProtection="1">
      <alignment horizontal="center" vertical="center"/>
    </xf>
    <xf numFmtId="0" fontId="33" fillId="4" borderId="116" xfId="15" applyFont="1" applyFill="1" applyBorder="1" applyAlignment="1" applyProtection="1">
      <alignment horizontal="center" vertical="center"/>
    </xf>
    <xf numFmtId="0" fontId="33" fillId="0" borderId="0" xfId="15" applyFont="1" applyAlignment="1" applyProtection="1">
      <alignment horizontal="center" vertical="center"/>
    </xf>
    <xf numFmtId="0" fontId="33" fillId="0" borderId="93" xfId="15" applyFont="1" applyFill="1" applyBorder="1" applyAlignment="1" applyProtection="1">
      <alignment horizontal="center" vertical="center"/>
    </xf>
    <xf numFmtId="182" fontId="33" fillId="4" borderId="50" xfId="15" quotePrefix="1" applyNumberFormat="1" applyFont="1" applyFill="1" applyBorder="1" applyAlignment="1" applyProtection="1">
      <alignment horizontal="center" vertical="center"/>
    </xf>
    <xf numFmtId="182" fontId="33" fillId="7" borderId="50" xfId="15" applyNumberFormat="1" applyFont="1" applyFill="1" applyBorder="1" applyAlignment="1" applyProtection="1">
      <alignment horizontal="center" vertical="center"/>
    </xf>
    <xf numFmtId="182" fontId="33" fillId="4" borderId="90" xfId="15" quotePrefix="1" applyNumberFormat="1" applyFont="1" applyFill="1" applyBorder="1" applyAlignment="1" applyProtection="1">
      <alignment horizontal="center" vertical="center"/>
    </xf>
    <xf numFmtId="182" fontId="33" fillId="4" borderId="102" xfId="15" quotePrefix="1" applyNumberFormat="1" applyFont="1" applyFill="1" applyBorder="1" applyAlignment="1" applyProtection="1">
      <alignment horizontal="center" vertical="center"/>
    </xf>
    <xf numFmtId="165" fontId="33" fillId="4" borderId="102" xfId="15" quotePrefix="1" applyNumberFormat="1" applyFont="1" applyFill="1" applyBorder="1" applyAlignment="1" applyProtection="1">
      <alignment horizontal="center" vertical="center"/>
    </xf>
    <xf numFmtId="165" fontId="33" fillId="4" borderId="100" xfId="15" quotePrefix="1" applyNumberFormat="1" applyFont="1" applyFill="1" applyBorder="1" applyAlignment="1" applyProtection="1">
      <alignment horizontal="center" vertical="center"/>
    </xf>
    <xf numFmtId="1" fontId="33" fillId="4" borderId="90" xfId="15" quotePrefix="1" applyNumberFormat="1" applyFont="1" applyFill="1" applyBorder="1" applyAlignment="1" applyProtection="1">
      <alignment horizontal="center" vertical="center"/>
    </xf>
    <xf numFmtId="1" fontId="33" fillId="4" borderId="101" xfId="15" quotePrefix="1" applyNumberFormat="1" applyFont="1" applyFill="1" applyBorder="1" applyAlignment="1" applyProtection="1">
      <alignment horizontal="center" vertical="center"/>
    </xf>
    <xf numFmtId="165" fontId="33" fillId="7" borderId="125" xfId="15" quotePrefix="1" applyNumberFormat="1" applyFont="1" applyFill="1" applyBorder="1" applyAlignment="1" applyProtection="1">
      <alignment horizontal="center" vertical="center"/>
    </xf>
    <xf numFmtId="165" fontId="33" fillId="7" borderId="50" xfId="15" quotePrefix="1" applyNumberFormat="1" applyFont="1" applyFill="1" applyBorder="1" applyAlignment="1" applyProtection="1">
      <alignment horizontal="center" vertical="center"/>
    </xf>
    <xf numFmtId="165" fontId="33" fillId="7" borderId="94" xfId="15" quotePrefix="1" applyNumberFormat="1" applyFont="1" applyFill="1" applyBorder="1" applyAlignment="1" applyProtection="1">
      <alignment horizontal="center" vertical="center"/>
    </xf>
    <xf numFmtId="1" fontId="33" fillId="4" borderId="11" xfId="15" quotePrefix="1" applyNumberFormat="1" applyFont="1" applyFill="1" applyBorder="1" applyAlignment="1" applyProtection="1">
      <alignment horizontal="center" vertical="center"/>
    </xf>
    <xf numFmtId="165" fontId="33" fillId="4" borderId="90" xfId="15" quotePrefix="1" applyNumberFormat="1" applyFont="1" applyFill="1" applyBorder="1" applyAlignment="1" applyProtection="1">
      <alignment horizontal="center" vertical="center"/>
    </xf>
    <xf numFmtId="165" fontId="33" fillId="4" borderId="101" xfId="15" quotePrefix="1" applyNumberFormat="1" applyFont="1" applyFill="1" applyBorder="1" applyAlignment="1" applyProtection="1">
      <alignment horizontal="center" vertical="center"/>
    </xf>
    <xf numFmtId="0" fontId="33" fillId="4" borderId="11" xfId="15" applyFont="1" applyFill="1" applyBorder="1" applyAlignment="1" applyProtection="1">
      <alignment horizontal="center" vertical="center"/>
    </xf>
    <xf numFmtId="14" fontId="33" fillId="0" borderId="0" xfId="15" applyNumberFormat="1" applyFont="1" applyAlignment="1" applyProtection="1">
      <alignment vertical="center"/>
    </xf>
    <xf numFmtId="0" fontId="33" fillId="0" borderId="97" xfId="15" applyFont="1" applyFill="1" applyBorder="1" applyAlignment="1" applyProtection="1">
      <alignment horizontal="center" vertical="center"/>
    </xf>
    <xf numFmtId="182" fontId="33" fillId="7" borderId="48" xfId="15" applyNumberFormat="1" applyFont="1" applyFill="1" applyBorder="1" applyAlignment="1" applyProtection="1">
      <alignment horizontal="center" vertical="center"/>
    </xf>
    <xf numFmtId="182" fontId="33" fillId="7" borderId="43" xfId="15" applyNumberFormat="1" applyFont="1" applyFill="1" applyBorder="1" applyAlignment="1" applyProtection="1">
      <alignment horizontal="center" vertical="center"/>
    </xf>
    <xf numFmtId="165" fontId="33" fillId="7" borderId="43" xfId="15" applyNumberFormat="1" applyFont="1" applyFill="1" applyBorder="1" applyAlignment="1" applyProtection="1">
      <alignment horizontal="center" vertical="center"/>
    </xf>
    <xf numFmtId="1" fontId="33" fillId="7" borderId="45" xfId="15" quotePrefix="1" applyNumberFormat="1" applyFont="1" applyFill="1" applyBorder="1" applyAlignment="1" applyProtection="1">
      <alignment horizontal="center" vertical="center"/>
    </xf>
    <xf numFmtId="165" fontId="33" fillId="7" borderId="45" xfId="15" quotePrefix="1" applyNumberFormat="1" applyFont="1" applyFill="1" applyBorder="1" applyAlignment="1" applyProtection="1">
      <alignment horizontal="center" vertical="center"/>
    </xf>
    <xf numFmtId="165" fontId="33" fillId="7" borderId="96" xfId="15" quotePrefix="1" applyNumberFormat="1" applyFont="1" applyFill="1" applyBorder="1" applyAlignment="1" applyProtection="1">
      <alignment horizontal="center" vertical="center"/>
    </xf>
    <xf numFmtId="165" fontId="33" fillId="7" borderId="44" xfId="15" quotePrefix="1" applyNumberFormat="1" applyFont="1" applyFill="1" applyBorder="1" applyAlignment="1" applyProtection="1">
      <alignment horizontal="center" vertical="center"/>
    </xf>
    <xf numFmtId="165" fontId="33" fillId="7" borderId="93" xfId="15" quotePrefix="1" applyNumberFormat="1" applyFont="1" applyFill="1" applyBorder="1" applyAlignment="1" applyProtection="1">
      <alignment horizontal="center" vertical="center"/>
    </xf>
    <xf numFmtId="165" fontId="33" fillId="7" borderId="97" xfId="15" quotePrefix="1" applyNumberFormat="1" applyFont="1" applyFill="1" applyBorder="1" applyAlignment="1" applyProtection="1">
      <alignment horizontal="center" vertical="center"/>
    </xf>
    <xf numFmtId="165" fontId="33" fillId="7" borderId="48" xfId="15" quotePrefix="1" applyNumberFormat="1" applyFont="1" applyFill="1" applyBorder="1" applyAlignment="1" applyProtection="1">
      <alignment horizontal="center" vertical="center"/>
    </xf>
    <xf numFmtId="165" fontId="33" fillId="7" borderId="98" xfId="15" quotePrefix="1" applyNumberFormat="1" applyFont="1" applyFill="1" applyBorder="1" applyAlignment="1" applyProtection="1">
      <alignment horizontal="center" vertical="center"/>
    </xf>
    <xf numFmtId="165" fontId="33" fillId="7" borderId="95" xfId="15" quotePrefix="1" applyNumberFormat="1" applyFont="1" applyFill="1" applyBorder="1" applyAlignment="1" applyProtection="1">
      <alignment horizontal="center" vertical="center"/>
    </xf>
    <xf numFmtId="183" fontId="33" fillId="7" borderId="103" xfId="15" applyNumberFormat="1" applyFont="1" applyFill="1" applyBorder="1" applyAlignment="1" applyProtection="1">
      <alignment horizontal="center" vertical="center"/>
    </xf>
    <xf numFmtId="183" fontId="33" fillId="7" borderId="98" xfId="15" applyNumberFormat="1" applyFont="1" applyFill="1" applyBorder="1" applyAlignment="1" applyProtection="1">
      <alignment horizontal="center" vertical="center"/>
    </xf>
    <xf numFmtId="182" fontId="33" fillId="7" borderId="92" xfId="15" applyNumberFormat="1" applyFont="1" applyFill="1" applyBorder="1" applyAlignment="1" applyProtection="1">
      <alignment horizontal="center" vertical="center"/>
    </xf>
    <xf numFmtId="165" fontId="33" fillId="7" borderId="92" xfId="15" applyNumberFormat="1" applyFont="1" applyFill="1" applyBorder="1" applyAlignment="1" applyProtection="1">
      <alignment horizontal="center" vertical="center"/>
    </xf>
    <xf numFmtId="165" fontId="33" fillId="7" borderId="97" xfId="15" applyNumberFormat="1" applyFont="1" applyFill="1" applyBorder="1" applyAlignment="1" applyProtection="1">
      <alignment horizontal="center" vertical="center"/>
    </xf>
    <xf numFmtId="165" fontId="33" fillId="7" borderId="99" xfId="15" quotePrefix="1" applyNumberFormat="1" applyFont="1" applyFill="1" applyBorder="1" applyAlignment="1" applyProtection="1">
      <alignment horizontal="center" vertical="center"/>
    </xf>
    <xf numFmtId="183" fontId="33" fillId="7" borderId="97" xfId="15" applyNumberFormat="1" applyFont="1" applyFill="1" applyBorder="1" applyAlignment="1" applyProtection="1">
      <alignment horizontal="center" vertical="center"/>
    </xf>
    <xf numFmtId="0" fontId="33" fillId="0" borderId="100" xfId="15" applyFont="1" applyFill="1" applyBorder="1" applyAlignment="1" applyProtection="1">
      <alignment horizontal="center" vertical="center"/>
    </xf>
    <xf numFmtId="182" fontId="42" fillId="4" borderId="61" xfId="15" quotePrefix="1" applyNumberFormat="1" applyFont="1" applyFill="1" applyBorder="1" applyAlignment="1" applyProtection="1">
      <alignment horizontal="center" vertical="center"/>
    </xf>
    <xf numFmtId="182" fontId="33" fillId="7" borderId="102" xfId="15" applyNumberFormat="1" applyFont="1" applyFill="1" applyBorder="1" applyAlignment="1" applyProtection="1">
      <alignment horizontal="center" vertical="center"/>
    </xf>
    <xf numFmtId="165" fontId="33" fillId="7" borderId="102" xfId="15" applyNumberFormat="1" applyFont="1" applyFill="1" applyBorder="1" applyAlignment="1" applyProtection="1">
      <alignment horizontal="center" vertical="center"/>
    </xf>
    <xf numFmtId="165" fontId="33" fillId="7" borderId="90" xfId="15" quotePrefix="1" applyNumberFormat="1" applyFont="1" applyFill="1" applyBorder="1" applyAlignment="1" applyProtection="1">
      <alignment horizontal="center" vertical="center"/>
    </xf>
    <xf numFmtId="165" fontId="33" fillId="7" borderId="101" xfId="15" quotePrefix="1" applyNumberFormat="1" applyFont="1" applyFill="1" applyBorder="1" applyAlignment="1" applyProtection="1">
      <alignment horizontal="center" vertical="center"/>
    </xf>
    <xf numFmtId="165" fontId="33" fillId="7" borderId="100" xfId="15" quotePrefix="1" applyNumberFormat="1" applyFont="1" applyFill="1" applyBorder="1" applyAlignment="1" applyProtection="1">
      <alignment horizontal="center" vertical="center"/>
    </xf>
    <xf numFmtId="165" fontId="33" fillId="7" borderId="117" xfId="15" quotePrefix="1" applyNumberFormat="1" applyFont="1" applyFill="1" applyBorder="1" applyAlignment="1" applyProtection="1">
      <alignment horizontal="center" vertical="center"/>
    </xf>
    <xf numFmtId="165" fontId="33" fillId="7" borderId="49" xfId="15" quotePrefix="1" applyNumberFormat="1" applyFont="1" applyFill="1" applyBorder="1" applyAlignment="1" applyProtection="1">
      <alignment horizontal="center" vertical="center"/>
    </xf>
    <xf numFmtId="165" fontId="33" fillId="7" borderId="118" xfId="15" quotePrefix="1" applyNumberFormat="1" applyFont="1" applyFill="1" applyBorder="1" applyAlignment="1" applyProtection="1">
      <alignment horizontal="center" vertical="center"/>
    </xf>
    <xf numFmtId="165" fontId="33" fillId="7" borderId="11" xfId="15" quotePrefix="1" applyNumberFormat="1" applyFont="1" applyFill="1" applyBorder="1" applyAlignment="1" applyProtection="1">
      <alignment horizontal="center" vertical="center"/>
    </xf>
    <xf numFmtId="165" fontId="33" fillId="7" borderId="119" xfId="15" quotePrefix="1" applyNumberFormat="1" applyFont="1" applyFill="1" applyBorder="1" applyAlignment="1" applyProtection="1">
      <alignment horizontal="center" vertical="center"/>
    </xf>
    <xf numFmtId="183" fontId="33" fillId="7" borderId="117" xfId="15" applyNumberFormat="1" applyFont="1" applyFill="1" applyBorder="1" applyAlignment="1" applyProtection="1">
      <alignment horizontal="center" vertical="center"/>
    </xf>
    <xf numFmtId="183" fontId="33" fillId="7" borderId="118" xfId="15" applyNumberFormat="1" applyFont="1" applyFill="1" applyBorder="1" applyAlignment="1" applyProtection="1">
      <alignment horizontal="center" vertical="center"/>
    </xf>
    <xf numFmtId="0" fontId="42" fillId="4" borderId="120" xfId="15" applyFont="1" applyFill="1" applyBorder="1" applyAlignment="1" applyProtection="1">
      <alignment horizontal="center" vertical="center"/>
    </xf>
    <xf numFmtId="0" fontId="42" fillId="4" borderId="121" xfId="15" applyFont="1" applyFill="1" applyBorder="1" applyAlignment="1" applyProtection="1">
      <alignment horizontal="left" vertical="center" indent="1"/>
    </xf>
    <xf numFmtId="182" fontId="42" fillId="7" borderId="121" xfId="15" applyNumberFormat="1" applyFont="1" applyFill="1" applyBorder="1" applyAlignment="1" applyProtection="1">
      <alignment horizontal="center" vertical="center"/>
    </xf>
    <xf numFmtId="182" fontId="42" fillId="4" borderId="121" xfId="15" quotePrefix="1" applyNumberFormat="1" applyFont="1" applyFill="1" applyBorder="1" applyAlignment="1" applyProtection="1">
      <alignment horizontal="center" vertical="center"/>
    </xf>
    <xf numFmtId="182" fontId="42" fillId="4" borderId="122" xfId="15" quotePrefix="1" applyNumberFormat="1" applyFont="1" applyFill="1" applyBorder="1" applyAlignment="1" applyProtection="1">
      <alignment horizontal="center" vertical="center"/>
    </xf>
    <xf numFmtId="165" fontId="42" fillId="4" borderId="122" xfId="15" quotePrefix="1" applyNumberFormat="1" applyFont="1" applyFill="1" applyBorder="1" applyAlignment="1" applyProtection="1">
      <alignment horizontal="center" vertical="center"/>
    </xf>
    <xf numFmtId="165" fontId="42" fillId="7" borderId="120" xfId="15" applyNumberFormat="1" applyFont="1" applyFill="1" applyBorder="1" applyAlignment="1" applyProtection="1">
      <alignment horizontal="center" vertical="center"/>
    </xf>
    <xf numFmtId="165" fontId="42" fillId="4" borderId="120" xfId="15" quotePrefix="1" applyNumberFormat="1" applyFont="1" applyFill="1" applyBorder="1" applyAlignment="1" applyProtection="1">
      <alignment horizontal="center" vertical="center"/>
    </xf>
    <xf numFmtId="165" fontId="42" fillId="4" borderId="121" xfId="15" quotePrefix="1" applyNumberFormat="1" applyFont="1" applyFill="1" applyBorder="1" applyAlignment="1" applyProtection="1">
      <alignment horizontal="center" vertical="center"/>
    </xf>
    <xf numFmtId="165" fontId="42" fillId="4" borderId="124" xfId="15" quotePrefix="1" applyNumberFormat="1" applyFont="1" applyFill="1" applyBorder="1" applyAlignment="1" applyProtection="1">
      <alignment horizontal="center" vertical="center"/>
    </xf>
    <xf numFmtId="165" fontId="42" fillId="7" borderId="120" xfId="15" quotePrefix="1" applyNumberFormat="1" applyFont="1" applyFill="1" applyBorder="1" applyAlignment="1" applyProtection="1">
      <alignment horizontal="center" vertical="center"/>
    </xf>
    <xf numFmtId="165" fontId="42" fillId="7" borderId="121" xfId="15" quotePrefix="1" applyNumberFormat="1" applyFont="1" applyFill="1" applyBorder="1" applyAlignment="1" applyProtection="1">
      <alignment horizontal="center" vertical="center"/>
    </xf>
    <xf numFmtId="165" fontId="42" fillId="7" borderId="124" xfId="15" quotePrefix="1" applyNumberFormat="1" applyFont="1" applyFill="1" applyBorder="1" applyAlignment="1" applyProtection="1">
      <alignment horizontal="center" vertical="center"/>
    </xf>
    <xf numFmtId="165" fontId="42" fillId="7" borderId="123" xfId="15" applyNumberFormat="1" applyFont="1" applyFill="1" applyBorder="1" applyAlignment="1" applyProtection="1">
      <alignment horizontal="center" vertical="center"/>
    </xf>
    <xf numFmtId="182" fontId="33" fillId="0" borderId="0" xfId="15" applyNumberFormat="1" applyFont="1" applyAlignment="1" applyProtection="1">
      <alignment vertical="center"/>
    </xf>
    <xf numFmtId="1" fontId="33" fillId="0" borderId="0" xfId="15" applyNumberFormat="1" applyFont="1" applyAlignment="1" applyProtection="1">
      <alignment vertical="center"/>
    </xf>
    <xf numFmtId="165" fontId="33" fillId="0" borderId="0" xfId="15" applyNumberFormat="1" applyFont="1" applyAlignment="1" applyProtection="1">
      <alignment vertical="center"/>
    </xf>
    <xf numFmtId="165" fontId="33" fillId="6" borderId="43" xfId="15" quotePrefix="1" applyNumberFormat="1" applyFont="1" applyFill="1" applyBorder="1" applyAlignment="1" applyProtection="1">
      <alignment horizontal="center" vertical="center"/>
      <protection locked="0"/>
    </xf>
    <xf numFmtId="165" fontId="33" fillId="6" borderId="44" xfId="15" quotePrefix="1" applyNumberFormat="1" applyFont="1" applyFill="1" applyBorder="1" applyAlignment="1" applyProtection="1">
      <alignment horizontal="center" vertical="center"/>
      <protection locked="0"/>
    </xf>
    <xf numFmtId="2" fontId="33" fillId="6" borderId="103" xfId="15" quotePrefix="1" applyNumberFormat="1" applyFont="1" applyFill="1" applyBorder="1" applyAlignment="1" applyProtection="1">
      <alignment horizontal="center" vertical="center"/>
      <protection locked="0"/>
    </xf>
    <xf numFmtId="2" fontId="33" fillId="6" borderId="93" xfId="15" quotePrefix="1" applyNumberFormat="1" applyFont="1" applyFill="1" applyBorder="1" applyAlignment="1" applyProtection="1">
      <alignment horizontal="center" vertical="center"/>
      <protection locked="0"/>
    </xf>
    <xf numFmtId="2" fontId="33" fillId="6" borderId="100" xfId="15" quotePrefix="1" applyNumberFormat="1" applyFont="1" applyFill="1" applyBorder="1" applyAlignment="1" applyProtection="1">
      <alignment horizontal="center" vertical="center"/>
      <protection locked="0"/>
    </xf>
    <xf numFmtId="165" fontId="33" fillId="6" borderId="45" xfId="15" quotePrefix="1" applyNumberFormat="1" applyFont="1" applyFill="1" applyBorder="1" applyAlignment="1" applyProtection="1">
      <alignment horizontal="center" vertical="center"/>
      <protection locked="0"/>
    </xf>
    <xf numFmtId="165" fontId="33" fillId="6" borderId="43" xfId="15" applyNumberFormat="1" applyFont="1" applyFill="1" applyBorder="1" applyAlignment="1" applyProtection="1">
      <alignment horizontal="center" vertical="center"/>
      <protection locked="0"/>
    </xf>
    <xf numFmtId="165" fontId="33" fillId="6" borderId="92" xfId="15" applyNumberFormat="1" applyFont="1" applyFill="1" applyBorder="1" applyAlignment="1" applyProtection="1">
      <alignment horizontal="center" vertical="center"/>
      <protection locked="0"/>
    </xf>
    <xf numFmtId="165" fontId="33" fillId="6" borderId="102" xfId="15" applyNumberFormat="1" applyFont="1" applyFill="1" applyBorder="1" applyAlignment="1" applyProtection="1">
      <alignment horizontal="center" vertical="center"/>
      <protection locked="0"/>
    </xf>
    <xf numFmtId="1" fontId="33" fillId="6" borderId="48" xfId="15" applyNumberFormat="1" applyFont="1" applyFill="1" applyBorder="1" applyAlignment="1" applyProtection="1">
      <alignment horizontal="center" vertical="center"/>
      <protection locked="0"/>
    </xf>
    <xf numFmtId="0" fontId="41" fillId="6" borderId="48" xfId="15" applyFont="1" applyFill="1" applyBorder="1" applyAlignment="1" applyProtection="1">
      <alignment horizontal="left" vertical="center" indent="1"/>
      <protection locked="0"/>
    </xf>
    <xf numFmtId="182" fontId="33" fillId="6" borderId="48" xfId="15" applyNumberFormat="1" applyFont="1" applyFill="1" applyBorder="1" applyAlignment="1" applyProtection="1">
      <alignment horizontal="center" vertical="center"/>
      <protection locked="0"/>
    </xf>
    <xf numFmtId="0" fontId="41" fillId="6" borderId="90" xfId="15" applyFont="1" applyFill="1" applyBorder="1" applyAlignment="1" applyProtection="1">
      <alignment horizontal="left" vertical="center" indent="1"/>
      <protection locked="0"/>
    </xf>
    <xf numFmtId="182" fontId="33" fillId="6" borderId="90" xfId="15" applyNumberFormat="1" applyFont="1" applyFill="1" applyBorder="1" applyAlignment="1" applyProtection="1">
      <alignment horizontal="center" vertical="center"/>
      <protection locked="0"/>
    </xf>
    <xf numFmtId="14" fontId="41" fillId="6" borderId="50" xfId="15" applyNumberFormat="1" applyFont="1" applyFill="1" applyBorder="1" applyAlignment="1" applyProtection="1">
      <alignment horizontal="left" vertical="center" indent="1"/>
      <protection locked="0"/>
    </xf>
    <xf numFmtId="165" fontId="33" fillId="6" borderId="45" xfId="15" applyNumberFormat="1" applyFont="1" applyFill="1" applyBorder="1" applyAlignment="1" applyProtection="1">
      <alignment horizontal="center" vertical="center"/>
      <protection locked="0"/>
    </xf>
    <xf numFmtId="2" fontId="33" fillId="6" borderId="48" xfId="15" applyNumberFormat="1" applyFont="1" applyFill="1" applyBorder="1" applyAlignment="1" applyProtection="1">
      <alignment horizontal="center" vertical="center"/>
      <protection locked="0"/>
    </xf>
    <xf numFmtId="1" fontId="33" fillId="7" borderId="48" xfId="15" quotePrefix="1" applyNumberFormat="1" applyFont="1" applyFill="1" applyBorder="1" applyAlignment="1" applyProtection="1">
      <alignment horizontal="center" vertical="center"/>
    </xf>
    <xf numFmtId="1" fontId="33" fillId="7" borderId="132" xfId="15" quotePrefix="1" applyNumberFormat="1" applyFont="1" applyFill="1" applyBorder="1" applyAlignment="1" applyProtection="1">
      <alignment horizontal="center" vertical="center"/>
    </xf>
    <xf numFmtId="165" fontId="33" fillId="6" borderId="48" xfId="15" quotePrefix="1" applyNumberFormat="1" applyFont="1" applyFill="1" applyBorder="1" applyAlignment="1" applyProtection="1">
      <alignment horizontal="center" vertical="center"/>
      <protection locked="0"/>
    </xf>
    <xf numFmtId="165" fontId="33" fillId="6" borderId="46" xfId="15" quotePrefix="1" applyNumberFormat="1" applyFont="1" applyFill="1" applyBorder="1" applyAlignment="1" applyProtection="1">
      <alignment horizontal="center" vertical="center"/>
      <protection locked="0"/>
    </xf>
    <xf numFmtId="165" fontId="33" fillId="6" borderId="132" xfId="15" quotePrefix="1" applyNumberFormat="1" applyFont="1" applyFill="1" applyBorder="1" applyAlignment="1" applyProtection="1">
      <alignment horizontal="center" vertical="center"/>
      <protection locked="0"/>
    </xf>
    <xf numFmtId="165" fontId="33" fillId="7" borderId="132" xfId="15" quotePrefix="1" applyNumberFormat="1" applyFont="1" applyFill="1" applyBorder="1" applyAlignment="1" applyProtection="1">
      <alignment horizontal="center" vertical="center"/>
    </xf>
    <xf numFmtId="165" fontId="33" fillId="6" borderId="134" xfId="15" quotePrefix="1" applyNumberFormat="1" applyFont="1" applyFill="1" applyBorder="1" applyAlignment="1" applyProtection="1">
      <alignment horizontal="center" vertical="center"/>
      <protection locked="0"/>
    </xf>
    <xf numFmtId="165" fontId="33" fillId="7" borderId="133" xfId="15" quotePrefix="1" applyNumberFormat="1" applyFont="1" applyFill="1" applyBorder="1" applyAlignment="1" applyProtection="1">
      <alignment horizontal="center" vertical="center"/>
    </xf>
    <xf numFmtId="165" fontId="33" fillId="7" borderId="47" xfId="15" quotePrefix="1" applyNumberFormat="1" applyFont="1" applyFill="1" applyBorder="1" applyAlignment="1" applyProtection="1">
      <alignment horizontal="center" vertical="center"/>
    </xf>
    <xf numFmtId="165" fontId="33" fillId="6" borderId="47" xfId="15" quotePrefix="1" applyNumberFormat="1" applyFont="1" applyFill="1" applyBorder="1" applyAlignment="1" applyProtection="1">
      <alignment horizontal="center" vertical="center"/>
      <protection locked="0"/>
    </xf>
    <xf numFmtId="165" fontId="33" fillId="7" borderId="131" xfId="15" quotePrefix="1" applyNumberFormat="1" applyFont="1" applyFill="1" applyBorder="1" applyAlignment="1" applyProtection="1">
      <alignment horizontal="center" vertical="center"/>
    </xf>
    <xf numFmtId="165" fontId="33" fillId="6" borderId="131" xfId="15" quotePrefix="1" applyNumberFormat="1" applyFont="1" applyFill="1" applyBorder="1" applyAlignment="1" applyProtection="1">
      <alignment horizontal="center" vertical="center"/>
      <protection locked="0"/>
    </xf>
    <xf numFmtId="1" fontId="33" fillId="6" borderId="137" xfId="15" applyNumberFormat="1" applyFont="1" applyFill="1" applyBorder="1" applyAlignment="1" applyProtection="1">
      <alignment horizontal="center" vertical="center"/>
      <protection locked="0"/>
    </xf>
    <xf numFmtId="1" fontId="33" fillId="4" borderId="137" xfId="15" applyNumberFormat="1" applyFont="1" applyFill="1" applyBorder="1" applyAlignment="1" applyProtection="1">
      <alignment horizontal="left" vertical="center" indent="1"/>
    </xf>
    <xf numFmtId="1" fontId="33" fillId="4" borderId="138" xfId="15" applyNumberFormat="1" applyFont="1" applyFill="1" applyBorder="1" applyAlignment="1" applyProtection="1">
      <alignment horizontal="center" vertical="center"/>
      <protection locked="0"/>
    </xf>
    <xf numFmtId="165" fontId="33" fillId="6" borderId="72" xfId="15" applyNumberFormat="1" applyFont="1" applyFill="1" applyBorder="1" applyAlignment="1" applyProtection="1">
      <alignment horizontal="center" vertical="center"/>
      <protection locked="0"/>
    </xf>
    <xf numFmtId="1" fontId="33" fillId="6" borderId="73" xfId="15" applyNumberFormat="1" applyFont="1" applyFill="1" applyBorder="1" applyAlignment="1" applyProtection="1">
      <alignment horizontal="center" vertical="center"/>
      <protection locked="0"/>
    </xf>
    <xf numFmtId="2" fontId="33" fillId="6" borderId="73" xfId="15" applyNumberFormat="1" applyFont="1" applyFill="1" applyBorder="1" applyAlignment="1" applyProtection="1">
      <alignment horizontal="center" vertical="center"/>
      <protection locked="0"/>
    </xf>
    <xf numFmtId="1" fontId="33" fillId="6" borderId="143" xfId="15" applyNumberFormat="1" applyFont="1" applyFill="1" applyBorder="1" applyAlignment="1" applyProtection="1">
      <alignment horizontal="center" vertical="center"/>
      <protection locked="0"/>
    </xf>
    <xf numFmtId="1" fontId="33" fillId="6" borderId="144" xfId="15" applyNumberFormat="1" applyFont="1" applyFill="1" applyBorder="1" applyAlignment="1" applyProtection="1">
      <alignment horizontal="center" vertical="center"/>
      <protection locked="0"/>
    </xf>
    <xf numFmtId="183" fontId="33" fillId="7" borderId="94" xfId="15" applyNumberFormat="1" applyFont="1" applyFill="1" applyBorder="1" applyAlignment="1" applyProtection="1">
      <alignment horizontal="center" vertical="center"/>
    </xf>
    <xf numFmtId="183" fontId="33" fillId="6" borderId="108" xfId="15" applyNumberFormat="1" applyFont="1" applyFill="1" applyBorder="1" applyAlignment="1" applyProtection="1">
      <alignment horizontal="center" vertical="center"/>
      <protection locked="0"/>
    </xf>
    <xf numFmtId="165" fontId="33" fillId="6" borderId="110" xfId="15" quotePrefix="1" applyNumberFormat="1" applyFont="1" applyFill="1" applyBorder="1" applyAlignment="1" applyProtection="1">
      <alignment horizontal="center" vertical="center"/>
      <protection locked="0"/>
    </xf>
    <xf numFmtId="165" fontId="33" fillId="6" borderId="16" xfId="15" quotePrefix="1" applyNumberFormat="1" applyFont="1" applyFill="1" applyBorder="1" applyAlignment="1" applyProtection="1">
      <alignment horizontal="center" vertical="center"/>
      <protection locked="0"/>
    </xf>
    <xf numFmtId="165" fontId="33" fillId="6" borderId="108" xfId="15" quotePrefix="1" applyNumberFormat="1" applyFont="1" applyFill="1" applyBorder="1" applyAlignment="1" applyProtection="1">
      <alignment horizontal="center" vertical="center"/>
      <protection locked="0"/>
    </xf>
    <xf numFmtId="165" fontId="33" fillId="7" borderId="93" xfId="15" applyNumberFormat="1" applyFont="1" applyFill="1" applyBorder="1" applyAlignment="1" applyProtection="1">
      <alignment horizontal="center" vertical="center"/>
    </xf>
    <xf numFmtId="165" fontId="33" fillId="4" borderId="110" xfId="15" quotePrefix="1" applyNumberFormat="1" applyFont="1" applyFill="1" applyBorder="1" applyAlignment="1" applyProtection="1">
      <alignment horizontal="center" vertical="center"/>
    </xf>
    <xf numFmtId="173" fontId="34" fillId="7" borderId="48" xfId="0" applyNumberFormat="1" applyFont="1" applyFill="1" applyBorder="1" applyAlignment="1" applyProtection="1">
      <alignment horizontal="center" vertical="center"/>
      <protection hidden="1"/>
    </xf>
    <xf numFmtId="0" fontId="44" fillId="13" borderId="145" xfId="0" applyFont="1" applyFill="1" applyBorder="1" applyAlignment="1" applyProtection="1">
      <alignment vertical="top" wrapText="1"/>
      <protection locked="0"/>
    </xf>
    <xf numFmtId="0" fontId="44" fillId="13" borderId="146" xfId="0" applyFont="1" applyFill="1" applyBorder="1" applyAlignment="1" applyProtection="1">
      <alignment vertical="top" wrapText="1"/>
      <protection locked="0"/>
    </xf>
    <xf numFmtId="0" fontId="48" fillId="0" borderId="0" xfId="0" applyFont="1" applyAlignment="1">
      <alignment horizontal="center" vertical="center"/>
    </xf>
    <xf numFmtId="0" fontId="50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quotePrefix="1" applyFont="1" applyBorder="1" applyAlignment="1">
      <alignment horizontal="left" vertical="center" indent="1"/>
    </xf>
    <xf numFmtId="0" fontId="48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49" fillId="0" borderId="0" xfId="0" applyFont="1" applyAlignment="1">
      <alignment horizontal="right" vertical="top"/>
    </xf>
    <xf numFmtId="0" fontId="21" fillId="0" borderId="0" xfId="0" applyFont="1" applyAlignment="1">
      <alignment horizontal="left" indent="2"/>
    </xf>
    <xf numFmtId="0" fontId="5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5" fontId="34" fillId="7" borderId="9" xfId="0" applyNumberFormat="1" applyFont="1" applyFill="1" applyBorder="1" applyAlignment="1" applyProtection="1">
      <alignment horizontal="center" vertical="center"/>
      <protection hidden="1"/>
    </xf>
    <xf numFmtId="0" fontId="0" fillId="14" borderId="0" xfId="0" applyFill="1"/>
    <xf numFmtId="0" fontId="9" fillId="14" borderId="0" xfId="0" applyFont="1" applyFill="1" applyAlignment="1">
      <alignment vertical="center"/>
    </xf>
    <xf numFmtId="0" fontId="0" fillId="0" borderId="150" xfId="0" applyFill="1" applyBorder="1"/>
    <xf numFmtId="0" fontId="50" fillId="0" borderId="150" xfId="0" applyFont="1" applyFill="1" applyBorder="1" applyAlignment="1">
      <alignment vertical="center"/>
    </xf>
    <xf numFmtId="0" fontId="0" fillId="0" borderId="152" xfId="0" applyFill="1" applyBorder="1" applyAlignment="1">
      <alignment vertical="center"/>
    </xf>
    <xf numFmtId="0" fontId="0" fillId="0" borderId="0" xfId="0" applyFill="1" applyBorder="1"/>
    <xf numFmtId="0" fontId="50" fillId="0" borderId="151" xfId="0" applyFont="1" applyFill="1" applyBorder="1" applyAlignment="1">
      <alignment vertical="center"/>
    </xf>
    <xf numFmtId="0" fontId="0" fillId="0" borderId="153" xfId="0" applyFill="1" applyBorder="1" applyAlignment="1">
      <alignment vertical="center"/>
    </xf>
    <xf numFmtId="0" fontId="0" fillId="0" borderId="154" xfId="0" applyFill="1" applyBorder="1" applyAlignment="1">
      <alignment vertical="center"/>
    </xf>
    <xf numFmtId="0" fontId="23" fillId="0" borderId="102" xfId="5" applyFont="1" applyBorder="1" applyAlignment="1">
      <alignment horizontal="center" vertical="center"/>
    </xf>
    <xf numFmtId="0" fontId="23" fillId="0" borderId="0" xfId="5" applyFont="1" applyBorder="1" applyAlignment="1">
      <alignment horizontal="center" vertical="center"/>
    </xf>
    <xf numFmtId="0" fontId="56" fillId="0" borderId="0" xfId="5" applyFont="1" applyBorder="1" applyAlignment="1">
      <alignment horizontal="center" vertical="center"/>
    </xf>
    <xf numFmtId="0" fontId="23" fillId="0" borderId="89" xfId="5" applyFont="1" applyBorder="1" applyAlignment="1">
      <alignment horizontal="center" vertical="center"/>
    </xf>
    <xf numFmtId="2" fontId="34" fillId="7" borderId="9" xfId="0" applyNumberFormat="1" applyFont="1" applyFill="1" applyBorder="1" applyAlignment="1" applyProtection="1">
      <alignment horizontal="center" vertical="center"/>
      <protection hidden="1"/>
    </xf>
    <xf numFmtId="0" fontId="23" fillId="15" borderId="65" xfId="5" applyFont="1" applyFill="1" applyBorder="1" applyAlignment="1">
      <alignment horizontal="center" vertical="center"/>
    </xf>
    <xf numFmtId="0" fontId="23" fillId="15" borderId="102" xfId="5" applyFont="1" applyFill="1" applyBorder="1" applyAlignment="1">
      <alignment horizontal="center" vertical="center"/>
    </xf>
    <xf numFmtId="0" fontId="23" fillId="15" borderId="0" xfId="5" applyFont="1" applyFill="1" applyBorder="1" applyAlignment="1">
      <alignment horizontal="center" vertical="center"/>
    </xf>
    <xf numFmtId="0" fontId="23" fillId="15" borderId="66" xfId="5" applyFont="1" applyFill="1" applyBorder="1" applyAlignment="1">
      <alignment horizontal="center" vertical="center"/>
    </xf>
    <xf numFmtId="0" fontId="23" fillId="15" borderId="60" xfId="5" applyFont="1" applyFill="1" applyBorder="1" applyAlignment="1">
      <alignment horizontal="center" vertical="center"/>
    </xf>
    <xf numFmtId="0" fontId="23" fillId="15" borderId="89" xfId="5" applyFont="1" applyFill="1" applyBorder="1" applyAlignment="1">
      <alignment horizontal="center" vertical="center"/>
    </xf>
    <xf numFmtId="181" fontId="23" fillId="0" borderId="0" xfId="5" applyNumberFormat="1" applyFont="1" applyAlignment="1">
      <alignment horizontal="left" vertical="center"/>
    </xf>
    <xf numFmtId="0" fontId="23" fillId="0" borderId="63" xfId="5" applyFont="1" applyBorder="1" applyAlignment="1">
      <alignment horizontal="center" vertical="center"/>
    </xf>
    <xf numFmtId="0" fontId="27" fillId="4" borderId="0" xfId="0" applyFont="1" applyFill="1"/>
    <xf numFmtId="0" fontId="27" fillId="0" borderId="0" xfId="0" applyFont="1"/>
    <xf numFmtId="0" fontId="53" fillId="0" borderId="0" xfId="0" applyFont="1" applyAlignment="1">
      <alignment horizontal="center"/>
    </xf>
    <xf numFmtId="0" fontId="27" fillId="0" borderId="90" xfId="0" applyFont="1" applyBorder="1" applyAlignment="1">
      <alignment horizontal="left"/>
    </xf>
    <xf numFmtId="0" fontId="27" fillId="0" borderId="85" xfId="0" applyFont="1" applyBorder="1" applyAlignment="1">
      <alignment horizontal="center" vertical="center"/>
    </xf>
    <xf numFmtId="2" fontId="27" fillId="0" borderId="85" xfId="0" applyNumberFormat="1" applyFont="1" applyBorder="1" applyAlignment="1">
      <alignment horizontal="center" vertical="center"/>
    </xf>
    <xf numFmtId="2" fontId="27" fillId="0" borderId="55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" fontId="27" fillId="0" borderId="54" xfId="0" applyNumberFormat="1" applyFont="1" applyBorder="1" applyAlignment="1">
      <alignment horizontal="center" vertical="center"/>
    </xf>
    <xf numFmtId="1" fontId="27" fillId="0" borderId="85" xfId="0" applyNumberFormat="1" applyFont="1" applyBorder="1" applyAlignment="1">
      <alignment horizontal="center" vertical="center"/>
    </xf>
    <xf numFmtId="1" fontId="27" fillId="0" borderId="55" xfId="0" applyNumberFormat="1" applyFont="1" applyBorder="1" applyAlignment="1">
      <alignment horizontal="center" vertical="center"/>
    </xf>
    <xf numFmtId="168" fontId="27" fillId="0" borderId="54" xfId="0" applyNumberFormat="1" applyFont="1" applyBorder="1" applyAlignment="1">
      <alignment horizontal="center" vertical="center"/>
    </xf>
    <xf numFmtId="168" fontId="27" fillId="0" borderId="85" xfId="0" applyNumberFormat="1" applyFont="1" applyBorder="1" applyAlignment="1">
      <alignment horizontal="center" vertical="center"/>
    </xf>
    <xf numFmtId="168" fontId="27" fillId="0" borderId="55" xfId="0" applyNumberFormat="1" applyFont="1" applyBorder="1" applyAlignment="1">
      <alignment horizontal="center" vertical="center"/>
    </xf>
    <xf numFmtId="1" fontId="27" fillId="0" borderId="65" xfId="0" applyNumberFormat="1" applyFont="1" applyBorder="1" applyAlignment="1">
      <alignment horizontal="center" vertical="center"/>
    </xf>
    <xf numFmtId="1" fontId="27" fillId="0" borderId="60" xfId="0" applyNumberFormat="1" applyFont="1" applyBorder="1" applyAlignment="1">
      <alignment horizontal="center" vertical="center"/>
    </xf>
    <xf numFmtId="1" fontId="27" fillId="0" borderId="66" xfId="0" applyNumberFormat="1" applyFont="1" applyBorder="1" applyAlignment="1">
      <alignment horizontal="center" vertical="center"/>
    </xf>
    <xf numFmtId="1" fontId="27" fillId="0" borderId="63" xfId="0" applyNumberFormat="1" applyFont="1" applyBorder="1" applyAlignment="1">
      <alignment horizontal="center" vertical="center"/>
    </xf>
    <xf numFmtId="1" fontId="27" fillId="0" borderId="158" xfId="0" applyNumberFormat="1" applyFont="1" applyBorder="1" applyAlignment="1">
      <alignment horizontal="center" vertical="center"/>
    </xf>
    <xf numFmtId="1" fontId="27" fillId="0" borderId="64" xfId="0" applyNumberFormat="1" applyFont="1" applyBorder="1" applyAlignment="1">
      <alignment horizontal="center" vertical="center"/>
    </xf>
    <xf numFmtId="168" fontId="27" fillId="0" borderId="63" xfId="0" applyNumberFormat="1" applyFont="1" applyBorder="1" applyAlignment="1">
      <alignment horizontal="center" vertical="center"/>
    </xf>
    <xf numFmtId="168" fontId="27" fillId="0" borderId="158" xfId="0" applyNumberFormat="1" applyFont="1" applyBorder="1" applyAlignment="1">
      <alignment horizontal="center" vertical="center"/>
    </xf>
    <xf numFmtId="168" fontId="27" fillId="0" borderId="64" xfId="0" applyNumberFormat="1" applyFont="1" applyBorder="1" applyAlignment="1">
      <alignment horizontal="center" vertical="center"/>
    </xf>
    <xf numFmtId="0" fontId="27" fillId="0" borderId="158" xfId="0" applyFont="1" applyBorder="1" applyAlignment="1">
      <alignment horizontal="center" vertical="center"/>
    </xf>
    <xf numFmtId="2" fontId="27" fillId="0" borderId="158" xfId="0" applyNumberFormat="1" applyFont="1" applyBorder="1" applyAlignment="1">
      <alignment horizontal="center" vertical="center"/>
    </xf>
    <xf numFmtId="2" fontId="27" fillId="0" borderId="64" xfId="0" applyNumberFormat="1" applyFont="1" applyBorder="1" applyAlignment="1">
      <alignment horizontal="center" vertical="center"/>
    </xf>
    <xf numFmtId="0" fontId="27" fillId="0" borderId="102" xfId="0" applyFont="1" applyBorder="1" applyAlignment="1">
      <alignment horizontal="left" indent="1"/>
    </xf>
    <xf numFmtId="0" fontId="27" fillId="0" borderId="0" xfId="0" applyFont="1" applyBorder="1" applyAlignment="1">
      <alignment horizontal="left" indent="1"/>
    </xf>
    <xf numFmtId="0" fontId="27" fillId="0" borderId="0" xfId="0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2" fontId="27" fillId="0" borderId="89" xfId="0" applyNumberFormat="1" applyFont="1" applyBorder="1" applyAlignment="1">
      <alignment horizontal="center" vertical="center"/>
    </xf>
    <xf numFmtId="1" fontId="27" fillId="0" borderId="102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" fontId="27" fillId="0" borderId="89" xfId="0" applyNumberFormat="1" applyFont="1" applyBorder="1" applyAlignment="1">
      <alignment horizontal="center" vertical="center"/>
    </xf>
    <xf numFmtId="168" fontId="27" fillId="0" borderId="102" xfId="0" applyNumberFormat="1" applyFont="1" applyBorder="1" applyAlignment="1">
      <alignment horizontal="center" vertical="center"/>
    </xf>
    <xf numFmtId="168" fontId="27" fillId="0" borderId="0" xfId="0" applyNumberFormat="1" applyFont="1" applyBorder="1" applyAlignment="1">
      <alignment horizontal="center" vertical="center"/>
    </xf>
    <xf numFmtId="168" fontId="27" fillId="0" borderId="89" xfId="0" applyNumberFormat="1" applyFont="1" applyBorder="1" applyAlignment="1">
      <alignment horizontal="center" vertical="center"/>
    </xf>
    <xf numFmtId="0" fontId="27" fillId="0" borderId="65" xfId="0" applyFont="1" applyBorder="1" applyAlignment="1">
      <alignment horizontal="left" indent="1"/>
    </xf>
    <xf numFmtId="0" fontId="27" fillId="0" borderId="60" xfId="0" applyFont="1" applyBorder="1" applyAlignment="1">
      <alignment horizontal="left" indent="1"/>
    </xf>
    <xf numFmtId="0" fontId="27" fillId="0" borderId="60" xfId="0" applyFont="1" applyBorder="1" applyAlignment="1">
      <alignment horizontal="center" vertical="center"/>
    </xf>
    <xf numFmtId="2" fontId="27" fillId="0" borderId="60" xfId="0" applyNumberFormat="1" applyFont="1" applyBorder="1" applyAlignment="1">
      <alignment horizontal="center" vertical="center"/>
    </xf>
    <xf numFmtId="2" fontId="27" fillId="0" borderId="66" xfId="0" applyNumberFormat="1" applyFont="1" applyBorder="1" applyAlignment="1">
      <alignment horizontal="center" vertical="center"/>
    </xf>
    <xf numFmtId="168" fontId="27" fillId="0" borderId="65" xfId="0" applyNumberFormat="1" applyFont="1" applyBorder="1" applyAlignment="1">
      <alignment horizontal="center" vertical="center"/>
    </xf>
    <xf numFmtId="168" fontId="27" fillId="0" borderId="60" xfId="0" applyNumberFormat="1" applyFont="1" applyBorder="1" applyAlignment="1">
      <alignment horizontal="center" vertical="center"/>
    </xf>
    <xf numFmtId="168" fontId="27" fillId="0" borderId="66" xfId="0" applyNumberFormat="1" applyFont="1" applyBorder="1" applyAlignment="1">
      <alignment horizontal="center" vertical="center"/>
    </xf>
    <xf numFmtId="0" fontId="27" fillId="4" borderId="0" xfId="0" applyFont="1" applyFill="1" applyBorder="1" applyAlignment="1">
      <alignment horizontal="left" indent="1"/>
    </xf>
    <xf numFmtId="0" fontId="27" fillId="4" borderId="0" xfId="0" applyFont="1" applyFill="1" applyBorder="1" applyAlignment="1">
      <alignment horizontal="left"/>
    </xf>
    <xf numFmtId="0" fontId="27" fillId="4" borderId="0" xfId="0" applyFont="1" applyFill="1" applyBorder="1" applyAlignment="1">
      <alignment horizontal="center" vertical="center"/>
    </xf>
    <xf numFmtId="2" fontId="27" fillId="4" borderId="0" xfId="0" applyNumberFormat="1" applyFont="1" applyFill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1" fontId="27" fillId="4" borderId="0" xfId="0" applyNumberFormat="1" applyFont="1" applyFill="1" applyBorder="1" applyAlignment="1">
      <alignment horizontal="center" vertical="center"/>
    </xf>
    <xf numFmtId="168" fontId="27" fillId="4" borderId="0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7" fillId="0" borderId="0" xfId="0" applyFont="1" applyAlignment="1">
      <alignment horizontal="left" indent="1"/>
    </xf>
    <xf numFmtId="0" fontId="27" fillId="0" borderId="0" xfId="0" applyFont="1" applyBorder="1"/>
    <xf numFmtId="0" fontId="27" fillId="0" borderId="0" xfId="0" applyFont="1" applyAlignment="1">
      <alignment vertical="center"/>
    </xf>
    <xf numFmtId="0" fontId="27" fillId="0" borderId="89" xfId="0" applyFont="1" applyBorder="1"/>
    <xf numFmtId="0" fontId="50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2" fontId="27" fillId="0" borderId="0" xfId="0" applyNumberFormat="1" applyFont="1" applyBorder="1" applyAlignment="1">
      <alignment horizontal="center"/>
    </xf>
    <xf numFmtId="2" fontId="27" fillId="0" borderId="0" xfId="0" applyNumberFormat="1" applyFont="1" applyAlignment="1">
      <alignment horizontal="center"/>
    </xf>
    <xf numFmtId="1" fontId="27" fillId="0" borderId="0" xfId="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168" fontId="27" fillId="0" borderId="0" xfId="0" applyNumberFormat="1" applyFont="1" applyBorder="1" applyAlignment="1">
      <alignment horizontal="center"/>
    </xf>
    <xf numFmtId="0" fontId="27" fillId="0" borderId="54" xfId="0" applyFont="1" applyBorder="1" applyAlignment="1">
      <alignment horizontal="left" indent="1"/>
    </xf>
    <xf numFmtId="0" fontId="27" fillId="0" borderId="85" xfId="0" applyFont="1" applyBorder="1" applyAlignment="1">
      <alignment horizontal="left" indent="1"/>
    </xf>
    <xf numFmtId="0" fontId="27" fillId="0" borderId="85" xfId="0" applyFont="1" applyBorder="1"/>
    <xf numFmtId="0" fontId="27" fillId="0" borderId="102" xfId="0" applyFont="1" applyBorder="1"/>
    <xf numFmtId="168" fontId="27" fillId="0" borderId="0" xfId="0" applyNumberFormat="1" applyFont="1"/>
    <xf numFmtId="185" fontId="34" fillId="0" borderId="0" xfId="14" applyNumberFormat="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9" fillId="0" borderId="0" xfId="17" applyFont="1" applyAlignment="1">
      <alignment vertical="center"/>
    </xf>
    <xf numFmtId="0" fontId="9" fillId="0" borderId="0" xfId="17" applyFont="1" applyAlignment="1" applyProtection="1">
      <alignment vertical="center"/>
    </xf>
    <xf numFmtId="0" fontId="9" fillId="0" borderId="0" xfId="17" applyFont="1" applyAlignment="1">
      <alignment horizontal="center" vertical="center"/>
    </xf>
    <xf numFmtId="0" fontId="20" fillId="0" borderId="0" xfId="17" applyFont="1" applyBorder="1" applyAlignment="1" applyProtection="1">
      <alignment horizontal="center" vertical="center"/>
    </xf>
    <xf numFmtId="0" fontId="61" fillId="0" borderId="0" xfId="17" applyFont="1" applyBorder="1" applyAlignment="1" applyProtection="1">
      <alignment vertical="center"/>
    </xf>
    <xf numFmtId="0" fontId="61" fillId="0" borderId="0" xfId="17" applyFont="1" applyBorder="1" applyAlignment="1" applyProtection="1">
      <alignment horizontal="center" vertical="center"/>
    </xf>
    <xf numFmtId="0" fontId="61" fillId="0" borderId="0" xfId="17" applyFont="1" applyBorder="1" applyAlignment="1" applyProtection="1">
      <alignment horizontal="right" vertical="center"/>
    </xf>
    <xf numFmtId="0" fontId="20" fillId="12" borderId="0" xfId="17" quotePrefix="1" applyFont="1" applyFill="1" applyBorder="1" applyAlignment="1" applyProtection="1">
      <alignment horizontal="right" vertical="center"/>
    </xf>
    <xf numFmtId="187" fontId="9" fillId="7" borderId="9" xfId="17" applyNumberFormat="1" applyFont="1" applyFill="1" applyBorder="1" applyAlignment="1" applyProtection="1">
      <alignment horizontal="center" vertical="center"/>
    </xf>
    <xf numFmtId="188" fontId="9" fillId="4" borderId="9" xfId="17" applyNumberFormat="1" applyFont="1" applyFill="1" applyBorder="1" applyAlignment="1" applyProtection="1">
      <alignment horizontal="center" vertical="center"/>
    </xf>
    <xf numFmtId="188" fontId="9" fillId="6" borderId="9" xfId="17" applyNumberFormat="1" applyFont="1" applyFill="1" applyBorder="1" applyAlignment="1" applyProtection="1">
      <alignment horizontal="center" vertical="center"/>
      <protection locked="0"/>
    </xf>
    <xf numFmtId="0" fontId="33" fillId="6" borderId="9" xfId="17" applyFont="1" applyFill="1" applyBorder="1" applyAlignment="1" applyProtection="1">
      <alignment horizontal="center" vertical="center"/>
      <protection locked="0"/>
    </xf>
    <xf numFmtId="0" fontId="54" fillId="6" borderId="9" xfId="17" applyFont="1" applyFill="1" applyBorder="1" applyAlignment="1" applyProtection="1">
      <alignment horizontal="center" vertical="center"/>
      <protection locked="0"/>
    </xf>
    <xf numFmtId="0" fontId="63" fillId="0" borderId="0" xfId="17" quotePrefix="1" applyFont="1" applyAlignment="1">
      <alignment vertical="center"/>
    </xf>
    <xf numFmtId="0" fontId="63" fillId="0" borderId="0" xfId="17" applyFont="1" applyAlignment="1">
      <alignment vertical="center"/>
    </xf>
    <xf numFmtId="0" fontId="20" fillId="4" borderId="9" xfId="17" applyFont="1" applyFill="1" applyBorder="1" applyAlignment="1" applyProtection="1">
      <alignment horizontal="center" vertical="center"/>
    </xf>
    <xf numFmtId="0" fontId="20" fillId="4" borderId="9" xfId="17" quotePrefix="1" applyFont="1" applyFill="1" applyBorder="1" applyAlignment="1" applyProtection="1">
      <alignment horizontal="center" vertical="center"/>
    </xf>
    <xf numFmtId="0" fontId="9" fillId="4" borderId="65" xfId="17" applyFont="1" applyFill="1" applyBorder="1" applyAlignment="1">
      <alignment vertical="center"/>
    </xf>
    <xf numFmtId="0" fontId="20" fillId="4" borderId="63" xfId="17" applyFont="1" applyFill="1" applyBorder="1" applyAlignment="1" applyProtection="1">
      <alignment horizontal="center" vertical="center"/>
    </xf>
    <xf numFmtId="0" fontId="9" fillId="4" borderId="66" xfId="17" applyFont="1" applyFill="1" applyBorder="1" applyAlignment="1">
      <alignment horizontal="center" vertical="center"/>
    </xf>
    <xf numFmtId="189" fontId="9" fillId="7" borderId="9" xfId="17" applyNumberFormat="1" applyFont="1" applyFill="1" applyBorder="1" applyAlignment="1" applyProtection="1">
      <alignment horizontal="center" vertical="center"/>
    </xf>
    <xf numFmtId="0" fontId="62" fillId="12" borderId="0" xfId="17" applyFont="1" applyFill="1" applyBorder="1" applyAlignment="1" applyProtection="1">
      <alignment horizontal="center" vertical="center"/>
      <protection locked="0"/>
    </xf>
    <xf numFmtId="190" fontId="54" fillId="7" borderId="88" xfId="17" applyNumberFormat="1" applyFont="1" applyFill="1" applyBorder="1" applyAlignment="1">
      <alignment horizontal="center" vertical="center"/>
    </xf>
    <xf numFmtId="0" fontId="20" fillId="4" borderId="64" xfId="17" applyFont="1" applyFill="1" applyBorder="1" applyAlignment="1">
      <alignment horizontal="center" vertical="center"/>
    </xf>
    <xf numFmtId="0" fontId="9" fillId="4" borderId="0" xfId="17" applyFont="1" applyFill="1" applyAlignment="1">
      <alignment vertical="center"/>
    </xf>
    <xf numFmtId="0" fontId="9" fillId="4" borderId="0" xfId="17" applyFont="1" applyFill="1" applyAlignment="1">
      <alignment horizontal="center" vertical="center"/>
    </xf>
    <xf numFmtId="22" fontId="9" fillId="4" borderId="0" xfId="17" applyNumberFormat="1" applyFont="1" applyFill="1" applyAlignment="1">
      <alignment horizontal="center" vertical="center"/>
    </xf>
    <xf numFmtId="0" fontId="9" fillId="4" borderId="0" xfId="17" applyFont="1" applyFill="1" applyAlignment="1" applyProtection="1">
      <alignment horizontal="center" vertical="center"/>
    </xf>
    <xf numFmtId="0" fontId="24" fillId="4" borderId="0" xfId="17" applyFont="1" applyFill="1" applyAlignment="1">
      <alignment vertical="center"/>
    </xf>
    <xf numFmtId="186" fontId="9" fillId="4" borderId="0" xfId="17" applyNumberFormat="1" applyFont="1" applyFill="1" applyAlignment="1">
      <alignment vertical="center"/>
    </xf>
    <xf numFmtId="0" fontId="9" fillId="4" borderId="0" xfId="17" applyNumberFormat="1" applyFont="1" applyFill="1" applyAlignment="1">
      <alignment vertical="center"/>
    </xf>
    <xf numFmtId="168" fontId="34" fillId="6" borderId="54" xfId="0" applyNumberFormat="1" applyFont="1" applyFill="1" applyBorder="1" applyAlignment="1" applyProtection="1">
      <alignment horizontal="center" vertical="center"/>
      <protection locked="0"/>
    </xf>
    <xf numFmtId="1" fontId="19" fillId="6" borderId="26" xfId="5" applyNumberFormat="1" applyFont="1" applyFill="1" applyBorder="1" applyAlignment="1" applyProtection="1">
      <alignment horizontal="center" vertical="center"/>
      <protection locked="0"/>
    </xf>
    <xf numFmtId="0" fontId="27" fillId="0" borderId="40" xfId="0" applyFont="1" applyBorder="1"/>
    <xf numFmtId="0" fontId="65" fillId="0" borderId="160" xfId="0" applyNumberFormat="1" applyFont="1" applyFill="1" applyBorder="1" applyAlignment="1">
      <alignment horizontal="center" vertical="center"/>
    </xf>
    <xf numFmtId="0" fontId="65" fillId="0" borderId="159" xfId="0" applyNumberFormat="1" applyFont="1" applyFill="1" applyBorder="1" applyAlignment="1">
      <alignment horizontal="left" vertical="center"/>
    </xf>
    <xf numFmtId="0" fontId="65" fillId="0" borderId="161" xfId="0" applyNumberFormat="1" applyFont="1" applyFill="1" applyBorder="1" applyAlignment="1">
      <alignment horizontal="center" vertical="center"/>
    </xf>
    <xf numFmtId="0" fontId="66" fillId="0" borderId="162" xfId="5" applyFont="1" applyBorder="1" applyAlignment="1">
      <alignment horizontal="left" vertical="center"/>
    </xf>
    <xf numFmtId="0" fontId="20" fillId="6" borderId="54" xfId="0" applyNumberFormat="1" applyFont="1" applyFill="1" applyBorder="1" applyAlignment="1" applyProtection="1">
      <alignment horizontal="center" vertical="center"/>
      <protection locked="0"/>
    </xf>
    <xf numFmtId="0" fontId="20" fillId="6" borderId="163" xfId="0" applyNumberFormat="1" applyFont="1" applyFill="1" applyBorder="1" applyAlignment="1" applyProtection="1">
      <alignment horizontal="center" vertical="center"/>
      <protection locked="0"/>
    </xf>
    <xf numFmtId="180" fontId="19" fillId="9" borderId="164" xfId="5" applyNumberFormat="1" applyFont="1" applyFill="1" applyBorder="1" applyAlignment="1" applyProtection="1">
      <alignment horizontal="center" vertical="center"/>
      <protection hidden="1"/>
    </xf>
    <xf numFmtId="0" fontId="20" fillId="6" borderId="63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175" fontId="19" fillId="6" borderId="27" xfId="5" applyNumberFormat="1" applyFont="1" applyFill="1" applyBorder="1" applyAlignment="1" applyProtection="1">
      <alignment horizontal="center" vertical="center"/>
      <protection locked="0"/>
    </xf>
    <xf numFmtId="0" fontId="0" fillId="0" borderId="39" xfId="0" applyBorder="1"/>
    <xf numFmtId="178" fontId="19" fillId="9" borderId="27" xfId="5" applyNumberFormat="1" applyFont="1" applyFill="1" applyBorder="1" applyAlignment="1" applyProtection="1">
      <alignment horizontal="center" vertical="center"/>
      <protection hidden="1"/>
    </xf>
    <xf numFmtId="0" fontId="0" fillId="0" borderId="11" xfId="0" applyBorder="1"/>
    <xf numFmtId="0" fontId="33" fillId="6" borderId="9" xfId="14" applyFont="1" applyFill="1" applyBorder="1" applyAlignment="1" applyProtection="1">
      <alignment horizontal="left" vertical="center" indent="1"/>
      <protection locked="0"/>
    </xf>
    <xf numFmtId="0" fontId="33" fillId="6" borderId="9" xfId="14" applyFont="1" applyFill="1" applyBorder="1" applyAlignment="1" applyProtection="1">
      <alignment horizontal="center" vertical="center"/>
      <protection locked="0"/>
    </xf>
    <xf numFmtId="14" fontId="33" fillId="6" borderId="9" xfId="14" applyNumberFormat="1" applyFont="1" applyFill="1" applyBorder="1" applyAlignment="1" applyProtection="1">
      <alignment horizontal="center" vertical="center"/>
      <protection locked="0"/>
    </xf>
    <xf numFmtId="165" fontId="33" fillId="6" borderId="9" xfId="14" applyNumberFormat="1" applyFont="1" applyFill="1" applyBorder="1" applyAlignment="1" applyProtection="1">
      <alignment horizontal="center" vertical="center"/>
      <protection locked="0"/>
    </xf>
    <xf numFmtId="0" fontId="68" fillId="0" borderId="0" xfId="16" applyFont="1" applyAlignment="1" applyProtection="1">
      <alignment horizontal="left" vertical="center" wrapText="1"/>
    </xf>
    <xf numFmtId="0" fontId="5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 wrapText="1"/>
    </xf>
    <xf numFmtId="0" fontId="53" fillId="0" borderId="0" xfId="0" applyFont="1" applyAlignment="1">
      <alignment horizontal="center" vertical="top"/>
    </xf>
    <xf numFmtId="0" fontId="45" fillId="13" borderId="156" xfId="0" applyFont="1" applyFill="1" applyBorder="1" applyAlignment="1" applyProtection="1">
      <alignment horizontal="left" vertical="center" wrapText="1" indent="1"/>
      <protection hidden="1"/>
    </xf>
    <xf numFmtId="0" fontId="47" fillId="13" borderId="155" xfId="16" applyFont="1" applyFill="1" applyBorder="1" applyAlignment="1" applyProtection="1">
      <alignment horizontal="center" vertical="center" wrapText="1"/>
      <protection hidden="1"/>
    </xf>
    <xf numFmtId="0" fontId="47" fillId="13" borderId="138" xfId="16" applyFont="1" applyFill="1" applyBorder="1" applyAlignment="1" applyProtection="1">
      <alignment horizontal="center" vertical="center" wrapText="1"/>
      <protection hidden="1"/>
    </xf>
    <xf numFmtId="0" fontId="5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9" fillId="0" borderId="102" xfId="0" quotePrefix="1" applyFont="1" applyFill="1" applyBorder="1" applyAlignment="1">
      <alignment horizontal="left" vertical="center" indent="1"/>
    </xf>
    <xf numFmtId="0" fontId="9" fillId="0" borderId="0" xfId="0" quotePrefix="1" applyFont="1" applyFill="1" applyBorder="1" applyAlignment="1">
      <alignment horizontal="left" vertical="center" indent="1"/>
    </xf>
    <xf numFmtId="0" fontId="9" fillId="0" borderId="151" xfId="0" quotePrefix="1" applyFont="1" applyFill="1" applyBorder="1" applyAlignment="1">
      <alignment horizontal="left" vertical="center" indent="1"/>
    </xf>
    <xf numFmtId="0" fontId="21" fillId="0" borderId="0" xfId="0" applyFont="1" applyAlignment="1">
      <alignment horizontal="left" vertical="center"/>
    </xf>
    <xf numFmtId="0" fontId="30" fillId="0" borderId="0" xfId="0" applyFont="1" applyBorder="1" applyAlignment="1">
      <alignment horizontal="right" vertical="top"/>
    </xf>
    <xf numFmtId="0" fontId="21" fillId="0" borderId="147" xfId="0" applyFont="1" applyFill="1" applyBorder="1" applyAlignment="1">
      <alignment horizontal="left" vertical="center" indent="1"/>
    </xf>
    <xf numFmtId="0" fontId="21" fillId="0" borderId="148" xfId="0" applyFont="1" applyFill="1" applyBorder="1" applyAlignment="1">
      <alignment horizontal="left" vertical="center" indent="1"/>
    </xf>
    <xf numFmtId="0" fontId="21" fillId="0" borderId="149" xfId="0" applyFont="1" applyFill="1" applyBorder="1" applyAlignment="1">
      <alignment horizontal="left" vertical="center" indent="1"/>
    </xf>
    <xf numFmtId="0" fontId="21" fillId="0" borderId="150" xfId="0" applyFont="1" applyFill="1" applyBorder="1" applyAlignment="1">
      <alignment horizontal="left" vertical="center" indent="1"/>
    </xf>
    <xf numFmtId="0" fontId="21" fillId="0" borderId="0" xfId="0" applyFont="1" applyFill="1" applyBorder="1" applyAlignment="1">
      <alignment horizontal="left" vertical="center" indent="1"/>
    </xf>
    <xf numFmtId="0" fontId="21" fillId="0" borderId="151" xfId="0" applyFont="1" applyFill="1" applyBorder="1" applyAlignment="1">
      <alignment horizontal="left" vertical="center" indent="1"/>
    </xf>
    <xf numFmtId="0" fontId="47" fillId="13" borderId="156" xfId="16" applyFont="1" applyFill="1" applyBorder="1" applyAlignment="1" applyProtection="1">
      <alignment horizontal="center" vertical="center" wrapText="1"/>
      <protection hidden="1"/>
    </xf>
    <xf numFmtId="0" fontId="47" fillId="13" borderId="157" xfId="16" applyFont="1" applyFill="1" applyBorder="1" applyAlignment="1" applyProtection="1">
      <alignment horizontal="center" vertical="center" wrapText="1"/>
      <protection hidden="1"/>
    </xf>
    <xf numFmtId="0" fontId="45" fillId="13" borderId="155" xfId="0" applyFont="1" applyFill="1" applyBorder="1" applyAlignment="1" applyProtection="1">
      <alignment horizontal="left" vertical="center" wrapText="1" indent="1"/>
      <protection hidden="1"/>
    </xf>
    <xf numFmtId="0" fontId="56" fillId="0" borderId="158" xfId="5" applyFont="1" applyBorder="1" applyAlignment="1">
      <alignment horizontal="center" vertical="center"/>
    </xf>
    <xf numFmtId="0" fontId="56" fillId="0" borderId="64" xfId="5" applyFont="1" applyBorder="1" applyAlignment="1">
      <alignment horizontal="center" vertical="center"/>
    </xf>
    <xf numFmtId="0" fontId="31" fillId="4" borderId="43" xfId="0" applyFont="1" applyFill="1" applyBorder="1" applyAlignment="1">
      <alignment horizontal="left" vertical="center" indent="1"/>
    </xf>
    <xf numFmtId="0" fontId="31" fillId="4" borderId="44" xfId="0" applyFont="1" applyFill="1" applyBorder="1" applyAlignment="1">
      <alignment horizontal="left" vertical="center" indent="1"/>
    </xf>
    <xf numFmtId="0" fontId="35" fillId="5" borderId="24" xfId="5" applyFont="1" applyFill="1" applyBorder="1" applyAlignment="1">
      <alignment horizontal="center" vertical="center"/>
    </xf>
    <xf numFmtId="0" fontId="35" fillId="5" borderId="29" xfId="5" applyFont="1" applyFill="1" applyBorder="1" applyAlignment="1">
      <alignment horizontal="center" vertical="center"/>
    </xf>
    <xf numFmtId="0" fontId="35" fillId="5" borderId="25" xfId="5" applyFont="1" applyFill="1" applyBorder="1" applyAlignment="1">
      <alignment horizontal="center" vertical="center"/>
    </xf>
    <xf numFmtId="0" fontId="9" fillId="5" borderId="24" xfId="5" applyFont="1" applyFill="1" applyBorder="1" applyAlignment="1">
      <alignment horizontal="left" vertical="center" indent="1"/>
    </xf>
    <xf numFmtId="0" fontId="9" fillId="5" borderId="25" xfId="5" applyFont="1" applyFill="1" applyBorder="1" applyAlignment="1">
      <alignment horizontal="left" vertical="center" indent="1"/>
    </xf>
    <xf numFmtId="0" fontId="31" fillId="4" borderId="51" xfId="0" applyFont="1" applyFill="1" applyBorder="1" applyAlignment="1">
      <alignment horizontal="left" vertical="center" indent="1"/>
    </xf>
    <xf numFmtId="0" fontId="31" fillId="4" borderId="52" xfId="0" applyFont="1" applyFill="1" applyBorder="1" applyAlignment="1">
      <alignment horizontal="left" vertical="center" indent="1"/>
    </xf>
    <xf numFmtId="0" fontId="42" fillId="4" borderId="51" xfId="0" applyFont="1" applyFill="1" applyBorder="1" applyAlignment="1">
      <alignment horizontal="left" vertical="center" indent="1"/>
    </xf>
    <xf numFmtId="0" fontId="42" fillId="4" borderId="52" xfId="0" applyFont="1" applyFill="1" applyBorder="1" applyAlignment="1">
      <alignment horizontal="left" vertical="center" indent="1"/>
    </xf>
    <xf numFmtId="0" fontId="34" fillId="0" borderId="62" xfId="0" applyFont="1" applyBorder="1" applyAlignment="1">
      <alignment horizontal="center" vertical="center" wrapText="1"/>
    </xf>
    <xf numFmtId="173" fontId="54" fillId="7" borderId="54" xfId="0" applyNumberFormat="1" applyFont="1" applyFill="1" applyBorder="1" applyAlignment="1" applyProtection="1">
      <alignment horizontal="center" vertical="center"/>
    </xf>
    <xf numFmtId="173" fontId="54" fillId="7" borderId="66" xfId="0" applyNumberFormat="1" applyFont="1" applyFill="1" applyBorder="1" applyAlignment="1" applyProtection="1">
      <alignment horizontal="center" vertical="center"/>
    </xf>
    <xf numFmtId="0" fontId="31" fillId="4" borderId="49" xfId="0" applyFont="1" applyFill="1" applyBorder="1" applyAlignment="1">
      <alignment horizontal="left" vertical="center" indent="1"/>
    </xf>
    <xf numFmtId="0" fontId="31" fillId="4" borderId="15" xfId="0" applyFont="1" applyFill="1" applyBorder="1" applyAlignment="1">
      <alignment horizontal="left" vertical="center" indent="1"/>
    </xf>
    <xf numFmtId="173" fontId="34" fillId="6" borderId="49" xfId="0" applyNumberFormat="1" applyFont="1" applyFill="1" applyBorder="1" applyAlignment="1" applyProtection="1">
      <alignment horizontal="center" vertical="center"/>
      <protection locked="0"/>
    </xf>
    <xf numFmtId="173" fontId="34" fillId="6" borderId="15" xfId="0" applyNumberFormat="1" applyFont="1" applyFill="1" applyBorder="1" applyAlignment="1" applyProtection="1">
      <alignment horizontal="center" vertical="center"/>
      <protection locked="0"/>
    </xf>
    <xf numFmtId="173" fontId="34" fillId="7" borderId="49" xfId="0" applyNumberFormat="1" applyFont="1" applyFill="1" applyBorder="1" applyAlignment="1" applyProtection="1">
      <alignment horizontal="center" vertical="center"/>
      <protection hidden="1"/>
    </xf>
    <xf numFmtId="173" fontId="34" fillId="7" borderId="15" xfId="0" applyNumberFormat="1" applyFont="1" applyFill="1" applyBorder="1" applyAlignment="1" applyProtection="1">
      <alignment horizontal="center" vertical="center"/>
      <protection hidden="1"/>
    </xf>
    <xf numFmtId="0" fontId="31" fillId="4" borderId="46" xfId="0" applyFont="1" applyFill="1" applyBorder="1" applyAlignment="1">
      <alignment horizontal="left" vertical="center" indent="1"/>
    </xf>
    <xf numFmtId="0" fontId="31" fillId="4" borderId="47" xfId="0" applyFont="1" applyFill="1" applyBorder="1" applyAlignment="1">
      <alignment horizontal="left" vertical="center" indent="1"/>
    </xf>
    <xf numFmtId="0" fontId="32" fillId="4" borderId="54" xfId="0" applyFont="1" applyFill="1" applyBorder="1" applyAlignment="1">
      <alignment horizontal="left" vertical="center" indent="1"/>
    </xf>
    <xf numFmtId="0" fontId="32" fillId="4" borderId="55" xfId="0" applyFont="1" applyFill="1" applyBorder="1" applyAlignment="1">
      <alignment horizontal="left" vertical="center" indent="1"/>
    </xf>
    <xf numFmtId="0" fontId="9" fillId="5" borderId="24" xfId="5" applyFont="1" applyFill="1" applyBorder="1" applyAlignment="1">
      <alignment horizontal="center" vertical="center"/>
    </xf>
    <xf numFmtId="0" fontId="9" fillId="4" borderId="25" xfId="5" applyFont="1" applyFill="1" applyBorder="1" applyAlignment="1">
      <alignment horizontal="left" vertical="center"/>
    </xf>
    <xf numFmtId="0" fontId="9" fillId="5" borderId="26" xfId="5" applyFont="1" applyFill="1" applyBorder="1" applyAlignment="1">
      <alignment horizontal="center" vertical="center" wrapText="1"/>
    </xf>
    <xf numFmtId="0" fontId="9" fillId="4" borderId="28" xfId="5" applyFont="1" applyFill="1" applyBorder="1" applyAlignment="1">
      <alignment horizontal="left" vertical="center"/>
    </xf>
    <xf numFmtId="0" fontId="33" fillId="0" borderId="59" xfId="0" applyFont="1" applyBorder="1" applyAlignment="1">
      <alignment horizontal="center" vertical="center" wrapText="1"/>
    </xf>
    <xf numFmtId="175" fontId="34" fillId="6" borderId="54" xfId="0" applyNumberFormat="1" applyFont="1" applyFill="1" applyBorder="1" applyAlignment="1" applyProtection="1">
      <alignment horizontal="center" vertical="center"/>
      <protection locked="0"/>
    </xf>
    <xf numFmtId="175" fontId="34" fillId="6" borderId="55" xfId="0" applyNumberFormat="1" applyFont="1" applyFill="1" applyBorder="1" applyAlignment="1" applyProtection="1">
      <alignment horizontal="center" vertical="center"/>
      <protection locked="0"/>
    </xf>
    <xf numFmtId="0" fontId="34" fillId="0" borderId="59" xfId="0" applyFont="1" applyBorder="1" applyAlignment="1">
      <alignment horizontal="center" vertical="center" wrapText="1"/>
    </xf>
    <xf numFmtId="0" fontId="9" fillId="4" borderId="54" xfId="5" applyFont="1" applyFill="1" applyBorder="1" applyAlignment="1">
      <alignment horizontal="left" vertical="center" indent="1"/>
    </xf>
    <xf numFmtId="0" fontId="9" fillId="4" borderId="55" xfId="5" applyFont="1" applyFill="1" applyBorder="1" applyAlignment="1">
      <alignment horizontal="left" vertical="center" indent="1"/>
    </xf>
    <xf numFmtId="0" fontId="34" fillId="0" borderId="40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1" fillId="4" borderId="54" xfId="0" applyFont="1" applyFill="1" applyBorder="1" applyAlignment="1">
      <alignment horizontal="left" vertical="center" indent="1"/>
    </xf>
    <xf numFmtId="0" fontId="31" fillId="4" borderId="55" xfId="0" applyFont="1" applyFill="1" applyBorder="1" applyAlignment="1">
      <alignment horizontal="left" vertical="center" indent="1"/>
    </xf>
    <xf numFmtId="0" fontId="64" fillId="0" borderId="40" xfId="5" applyFont="1" applyBorder="1" applyAlignment="1">
      <alignment horizontal="center" vertical="center"/>
    </xf>
    <xf numFmtId="0" fontId="64" fillId="0" borderId="35" xfId="5" applyFont="1" applyBorder="1" applyAlignment="1">
      <alignment horizontal="center" vertical="center"/>
    </xf>
    <xf numFmtId="177" fontId="34" fillId="7" borderId="54" xfId="0" applyNumberFormat="1" applyFont="1" applyFill="1" applyBorder="1" applyAlignment="1" applyProtection="1">
      <alignment horizontal="center" vertical="center"/>
      <protection hidden="1"/>
    </xf>
    <xf numFmtId="177" fontId="34" fillId="7" borderId="55" xfId="0" applyNumberFormat="1" applyFont="1" applyFill="1" applyBorder="1" applyAlignment="1" applyProtection="1">
      <alignment horizontal="center" vertical="center"/>
      <protection hidden="1"/>
    </xf>
    <xf numFmtId="175" fontId="34" fillId="7" borderId="54" xfId="0" applyNumberFormat="1" applyFont="1" applyFill="1" applyBorder="1" applyAlignment="1" applyProtection="1">
      <alignment horizontal="center" vertical="center"/>
      <protection hidden="1"/>
    </xf>
    <xf numFmtId="175" fontId="34" fillId="7" borderId="55" xfId="0" applyNumberFormat="1" applyFont="1" applyFill="1" applyBorder="1" applyAlignment="1" applyProtection="1">
      <alignment horizontal="center" vertical="center"/>
      <protection hidden="1"/>
    </xf>
    <xf numFmtId="0" fontId="9" fillId="5" borderId="38" xfId="5" applyFont="1" applyFill="1" applyBorder="1" applyAlignment="1">
      <alignment horizontal="center" vertical="center" wrapText="1"/>
    </xf>
    <xf numFmtId="0" fontId="9" fillId="4" borderId="36" xfId="5" applyFont="1" applyFill="1" applyBorder="1" applyAlignment="1">
      <alignment horizontal="left" vertical="center"/>
    </xf>
    <xf numFmtId="0" fontId="9" fillId="5" borderId="24" xfId="5" applyFont="1" applyFill="1" applyBorder="1" applyAlignment="1">
      <alignment horizontal="right" vertical="center" indent="1"/>
    </xf>
    <xf numFmtId="0" fontId="9" fillId="5" borderId="25" xfId="5" applyFont="1" applyFill="1" applyBorder="1" applyAlignment="1">
      <alignment horizontal="right" vertical="center" indent="1"/>
    </xf>
    <xf numFmtId="168" fontId="34" fillId="6" borderId="54" xfId="0" applyNumberFormat="1" applyFont="1" applyFill="1" applyBorder="1" applyAlignment="1" applyProtection="1">
      <alignment horizontal="center" vertical="center"/>
      <protection locked="0"/>
    </xf>
    <xf numFmtId="168" fontId="34" fillId="6" borderId="55" xfId="0" applyNumberFormat="1" applyFont="1" applyFill="1" applyBorder="1" applyAlignment="1" applyProtection="1">
      <alignment horizontal="center" vertical="center"/>
      <protection locked="0"/>
    </xf>
    <xf numFmtId="184" fontId="34" fillId="6" borderId="54" xfId="0" applyNumberFormat="1" applyFont="1" applyFill="1" applyBorder="1" applyAlignment="1" applyProtection="1">
      <alignment horizontal="center" vertical="center"/>
      <protection locked="0"/>
    </xf>
    <xf numFmtId="184" fontId="34" fillId="6" borderId="55" xfId="0" applyNumberFormat="1" applyFont="1" applyFill="1" applyBorder="1" applyAlignment="1" applyProtection="1">
      <alignment horizontal="center" vertical="center"/>
      <protection locked="0"/>
    </xf>
    <xf numFmtId="184" fontId="34" fillId="7" borderId="54" xfId="0" applyNumberFormat="1" applyFont="1" applyFill="1" applyBorder="1" applyAlignment="1" applyProtection="1">
      <alignment horizontal="center" vertical="center"/>
      <protection hidden="1"/>
    </xf>
    <xf numFmtId="184" fontId="34" fillId="7" borderId="55" xfId="0" applyNumberFormat="1" applyFont="1" applyFill="1" applyBorder="1" applyAlignment="1" applyProtection="1">
      <alignment horizontal="center" vertical="center"/>
      <protection hidden="1"/>
    </xf>
    <xf numFmtId="0" fontId="9" fillId="5" borderId="25" xfId="5" applyFont="1" applyFill="1" applyBorder="1" applyAlignment="1">
      <alignment horizontal="center" vertical="center"/>
    </xf>
    <xf numFmtId="0" fontId="9" fillId="5" borderId="29" xfId="5" applyFont="1" applyFill="1" applyBorder="1" applyAlignment="1">
      <alignment horizontal="center" vertical="center"/>
    </xf>
    <xf numFmtId="0" fontId="24" fillId="5" borderId="24" xfId="5" applyFont="1" applyFill="1" applyBorder="1" applyAlignment="1">
      <alignment horizontal="left" vertical="center" indent="1"/>
    </xf>
    <xf numFmtId="0" fontId="24" fillId="5" borderId="29" xfId="5" applyFont="1" applyFill="1" applyBorder="1" applyAlignment="1">
      <alignment horizontal="left" vertical="center" indent="1"/>
    </xf>
    <xf numFmtId="0" fontId="24" fillId="5" borderId="25" xfId="5" applyFont="1" applyFill="1" applyBorder="1" applyAlignment="1">
      <alignment horizontal="left" vertical="center" indent="1"/>
    </xf>
    <xf numFmtId="0" fontId="35" fillId="0" borderId="0" xfId="5" applyFont="1" applyBorder="1" applyAlignment="1">
      <alignment horizontal="left" vertical="center" wrapText="1"/>
    </xf>
    <xf numFmtId="0" fontId="35" fillId="0" borderId="33" xfId="5" applyFont="1" applyBorder="1" applyAlignment="1">
      <alignment horizontal="left" vertical="center" wrapText="1"/>
    </xf>
    <xf numFmtId="0" fontId="67" fillId="0" borderId="31" xfId="5" applyFont="1" applyBorder="1" applyAlignment="1">
      <alignment horizontal="center"/>
    </xf>
    <xf numFmtId="0" fontId="9" fillId="5" borderId="29" xfId="5" applyFont="1" applyFill="1" applyBorder="1" applyAlignment="1">
      <alignment horizontal="left" vertical="center" indent="1"/>
    </xf>
    <xf numFmtId="0" fontId="24" fillId="5" borderId="24" xfId="5" applyFont="1" applyFill="1" applyBorder="1" applyAlignment="1">
      <alignment horizontal="right" vertical="center" indent="1"/>
    </xf>
    <xf numFmtId="0" fontId="24" fillId="5" borderId="25" xfId="5" applyFont="1" applyFill="1" applyBorder="1" applyAlignment="1">
      <alignment horizontal="right" vertical="center" indent="1"/>
    </xf>
    <xf numFmtId="0" fontId="9" fillId="5" borderId="37" xfId="5" applyFont="1" applyFill="1" applyBorder="1" applyAlignment="1">
      <alignment horizontal="left" vertical="center" indent="1"/>
    </xf>
    <xf numFmtId="0" fontId="9" fillId="5" borderId="31" xfId="5" applyFont="1" applyFill="1" applyBorder="1" applyAlignment="1">
      <alignment horizontal="left" vertical="center" indent="1"/>
    </xf>
    <xf numFmtId="0" fontId="9" fillId="5" borderId="34" xfId="5" applyFont="1" applyFill="1" applyBorder="1" applyAlignment="1">
      <alignment horizontal="left" vertical="center" indent="1"/>
    </xf>
    <xf numFmtId="0" fontId="9" fillId="5" borderId="35" xfId="5" applyFont="1" applyFill="1" applyBorder="1" applyAlignment="1">
      <alignment horizontal="left" vertical="center" indent="1"/>
    </xf>
    <xf numFmtId="180" fontId="19" fillId="6" borderId="26" xfId="5" applyNumberFormat="1" applyFont="1" applyFill="1" applyBorder="1" applyAlignment="1" applyProtection="1">
      <alignment horizontal="center" vertical="center"/>
      <protection locked="0"/>
    </xf>
    <xf numFmtId="180" fontId="19" fillId="6" borderId="28" xfId="5" applyNumberFormat="1" applyFont="1" applyFill="1" applyBorder="1" applyAlignment="1" applyProtection="1">
      <alignment horizontal="center" vertical="center"/>
      <protection locked="0"/>
    </xf>
    <xf numFmtId="0" fontId="9" fillId="5" borderId="37" xfId="5" applyFont="1" applyFill="1" applyBorder="1" applyAlignment="1">
      <alignment horizontal="right" vertical="center" wrapText="1" indent="1"/>
    </xf>
    <xf numFmtId="0" fontId="9" fillId="5" borderId="31" xfId="5" applyFont="1" applyFill="1" applyBorder="1" applyAlignment="1">
      <alignment horizontal="right" vertical="center" wrapText="1" indent="1"/>
    </xf>
    <xf numFmtId="0" fontId="9" fillId="5" borderId="34" xfId="5" applyFont="1" applyFill="1" applyBorder="1" applyAlignment="1">
      <alignment horizontal="right" vertical="center" wrapText="1" indent="1"/>
    </xf>
    <xf numFmtId="0" fontId="9" fillId="5" borderId="35" xfId="5" applyFont="1" applyFill="1" applyBorder="1" applyAlignment="1">
      <alignment horizontal="right" vertical="center" wrapText="1" indent="1"/>
    </xf>
    <xf numFmtId="1" fontId="19" fillId="6" borderId="165" xfId="5" applyNumberFormat="1" applyFont="1" applyFill="1" applyBorder="1" applyAlignment="1" applyProtection="1">
      <alignment horizontal="center" vertical="center"/>
      <protection locked="0"/>
    </xf>
    <xf numFmtId="1" fontId="19" fillId="6" borderId="166" xfId="5" applyNumberFormat="1" applyFont="1" applyFill="1" applyBorder="1" applyAlignment="1" applyProtection="1">
      <alignment horizontal="center" vertical="center"/>
      <protection locked="0"/>
    </xf>
    <xf numFmtId="0" fontId="31" fillId="4" borderId="61" xfId="0" applyFont="1" applyFill="1" applyBorder="1" applyAlignment="1">
      <alignment horizontal="left" vertical="center" indent="1"/>
    </xf>
    <xf numFmtId="177" fontId="34" fillId="6" borderId="61" xfId="0" applyNumberFormat="1" applyFont="1" applyFill="1" applyBorder="1" applyAlignment="1" applyProtection="1">
      <alignment horizontal="center" vertical="center"/>
      <protection locked="0"/>
    </xf>
    <xf numFmtId="177" fontId="34" fillId="6" borderId="15" xfId="0" applyNumberFormat="1" applyFont="1" applyFill="1" applyBorder="1" applyAlignment="1" applyProtection="1">
      <alignment horizontal="center" vertical="center"/>
      <protection locked="0"/>
    </xf>
    <xf numFmtId="2" fontId="34" fillId="7" borderId="54" xfId="0" applyNumberFormat="1" applyFont="1" applyFill="1" applyBorder="1" applyAlignment="1" applyProtection="1">
      <alignment horizontal="center" vertical="center"/>
      <protection hidden="1"/>
    </xf>
    <xf numFmtId="2" fontId="34" fillId="7" borderId="55" xfId="0" applyNumberFormat="1" applyFont="1" applyFill="1" applyBorder="1" applyAlignment="1" applyProtection="1">
      <alignment horizontal="center" vertical="center"/>
      <protection hidden="1"/>
    </xf>
    <xf numFmtId="165" fontId="19" fillId="9" borderId="24" xfId="5" applyNumberFormat="1" applyFont="1" applyFill="1" applyBorder="1" applyAlignment="1" applyProtection="1">
      <alignment horizontal="center" vertical="center"/>
      <protection hidden="1"/>
    </xf>
    <xf numFmtId="165" fontId="19" fillId="9" borderId="25" xfId="5" applyNumberFormat="1" applyFont="1" applyFill="1" applyBorder="1" applyAlignment="1" applyProtection="1">
      <alignment horizontal="center" vertical="center"/>
      <protection hidden="1"/>
    </xf>
    <xf numFmtId="166" fontId="19" fillId="9" borderId="24" xfId="5" applyNumberFormat="1" applyFont="1" applyFill="1" applyBorder="1" applyAlignment="1" applyProtection="1">
      <alignment horizontal="center" vertical="center"/>
      <protection hidden="1"/>
    </xf>
    <xf numFmtId="166" fontId="19" fillId="9" borderId="25" xfId="5" applyNumberFormat="1" applyFont="1" applyFill="1" applyBorder="1" applyAlignment="1" applyProtection="1">
      <alignment horizontal="center" vertical="center"/>
      <protection hidden="1"/>
    </xf>
    <xf numFmtId="0" fontId="9" fillId="5" borderId="24" xfId="5" applyFont="1" applyFill="1" applyBorder="1" applyAlignment="1">
      <alignment horizontal="center" vertical="center" wrapText="1"/>
    </xf>
    <xf numFmtId="0" fontId="9" fillId="5" borderId="25" xfId="5" applyFont="1" applyFill="1" applyBorder="1" applyAlignment="1">
      <alignment horizontal="center" vertical="center" wrapText="1"/>
    </xf>
    <xf numFmtId="178" fontId="19" fillId="6" borderId="24" xfId="5" applyNumberFormat="1" applyFont="1" applyFill="1" applyBorder="1" applyAlignment="1" applyProtection="1">
      <alignment horizontal="center" vertical="center"/>
      <protection locked="0"/>
    </xf>
    <xf numFmtId="178" fontId="19" fillId="6" borderId="25" xfId="5" applyNumberFormat="1" applyFont="1" applyFill="1" applyBorder="1" applyAlignment="1" applyProtection="1">
      <alignment horizontal="center" vertical="center"/>
      <protection locked="0"/>
    </xf>
    <xf numFmtId="193" fontId="34" fillId="7" borderId="54" xfId="0" applyNumberFormat="1" applyFont="1" applyFill="1" applyBorder="1" applyAlignment="1" applyProtection="1">
      <alignment horizontal="center" vertical="center"/>
      <protection hidden="1"/>
    </xf>
    <xf numFmtId="193" fontId="34" fillId="7" borderId="55" xfId="0" applyNumberFormat="1" applyFont="1" applyFill="1" applyBorder="1" applyAlignment="1" applyProtection="1">
      <alignment horizontal="center" vertical="center"/>
      <protection hidden="1"/>
    </xf>
    <xf numFmtId="165" fontId="34" fillId="6" borderId="54" xfId="0" applyNumberFormat="1" applyFont="1" applyFill="1" applyBorder="1" applyAlignment="1" applyProtection="1">
      <alignment horizontal="center" vertical="center"/>
      <protection locked="0"/>
    </xf>
    <xf numFmtId="165" fontId="34" fillId="6" borderId="55" xfId="0" applyNumberFormat="1" applyFont="1" applyFill="1" applyBorder="1" applyAlignment="1" applyProtection="1">
      <alignment horizontal="center" vertical="center"/>
      <protection locked="0"/>
    </xf>
    <xf numFmtId="0" fontId="64" fillId="0" borderId="85" xfId="5" applyFont="1" applyBorder="1" applyAlignment="1">
      <alignment horizontal="center" vertical="center"/>
    </xf>
    <xf numFmtId="178" fontId="34" fillId="6" borderId="54" xfId="0" applyNumberFormat="1" applyFont="1" applyFill="1" applyBorder="1" applyAlignment="1" applyProtection="1">
      <alignment horizontal="center" vertical="center"/>
      <protection locked="0"/>
    </xf>
    <xf numFmtId="178" fontId="34" fillId="6" borderId="55" xfId="0" applyNumberFormat="1" applyFont="1" applyFill="1" applyBorder="1" applyAlignment="1" applyProtection="1">
      <alignment horizontal="center" vertical="center"/>
      <protection locked="0"/>
    </xf>
    <xf numFmtId="193" fontId="34" fillId="6" borderId="54" xfId="0" applyNumberFormat="1" applyFont="1" applyFill="1" applyBorder="1" applyAlignment="1" applyProtection="1">
      <alignment horizontal="center" vertical="center"/>
      <protection locked="0"/>
    </xf>
    <xf numFmtId="193" fontId="34" fillId="6" borderId="55" xfId="0" applyNumberFormat="1" applyFont="1" applyFill="1" applyBorder="1" applyAlignment="1" applyProtection="1">
      <alignment horizontal="center" vertical="center"/>
      <protection locked="0"/>
    </xf>
    <xf numFmtId="0" fontId="27" fillId="0" borderId="9" xfId="0" applyFont="1" applyBorder="1" applyAlignment="1">
      <alignment horizontal="left" indent="1"/>
    </xf>
    <xf numFmtId="0" fontId="27" fillId="0" borderId="54" xfId="0" applyFont="1" applyBorder="1" applyAlignment="1">
      <alignment horizontal="left" indent="1"/>
    </xf>
    <xf numFmtId="0" fontId="53" fillId="0" borderId="0" xfId="0" applyFont="1" applyAlignment="1">
      <alignment horizontal="center"/>
    </xf>
    <xf numFmtId="0" fontId="50" fillId="0" borderId="60" xfId="0" applyFont="1" applyBorder="1" applyAlignment="1">
      <alignment horizontal="center"/>
    </xf>
    <xf numFmtId="0" fontId="48" fillId="0" borderId="60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27" fillId="0" borderId="63" xfId="0" applyFont="1" applyBorder="1" applyAlignment="1">
      <alignment horizontal="left" indent="1"/>
    </xf>
    <xf numFmtId="0" fontId="27" fillId="0" borderId="158" xfId="0" applyFont="1" applyBorder="1" applyAlignment="1">
      <alignment horizontal="left" indent="1"/>
    </xf>
    <xf numFmtId="0" fontId="27" fillId="0" borderId="64" xfId="0" applyFont="1" applyBorder="1" applyAlignment="1">
      <alignment horizontal="left" indent="1"/>
    </xf>
    <xf numFmtId="0" fontId="27" fillId="0" borderId="65" xfId="0" applyFont="1" applyBorder="1" applyAlignment="1">
      <alignment horizontal="left" indent="1"/>
    </xf>
    <xf numFmtId="0" fontId="27" fillId="0" borderId="60" xfId="0" applyFont="1" applyBorder="1" applyAlignment="1">
      <alignment horizontal="left" indent="1"/>
    </xf>
    <xf numFmtId="0" fontId="27" fillId="0" borderId="66" xfId="0" applyFont="1" applyBorder="1" applyAlignment="1">
      <alignment horizontal="left" indent="1"/>
    </xf>
    <xf numFmtId="0" fontId="50" fillId="0" borderId="85" xfId="0" applyFont="1" applyBorder="1" applyAlignment="1">
      <alignment horizontal="center" vertical="center"/>
    </xf>
    <xf numFmtId="0" fontId="50" fillId="0" borderId="55" xfId="0" applyFont="1" applyBorder="1" applyAlignment="1">
      <alignment horizontal="center" vertical="center"/>
    </xf>
    <xf numFmtId="0" fontId="27" fillId="0" borderId="61" xfId="0" applyFont="1" applyBorder="1" applyAlignment="1">
      <alignment horizontal="left" indent="1"/>
    </xf>
    <xf numFmtId="0" fontId="27" fillId="0" borderId="15" xfId="0" applyFont="1" applyBorder="1" applyAlignment="1">
      <alignment horizontal="left" indent="1"/>
    </xf>
    <xf numFmtId="0" fontId="50" fillId="0" borderId="54" xfId="0" applyFont="1" applyBorder="1" applyAlignment="1">
      <alignment horizontal="center" vertical="center"/>
    </xf>
    <xf numFmtId="168" fontId="50" fillId="0" borderId="54" xfId="0" applyNumberFormat="1" applyFont="1" applyBorder="1" applyAlignment="1">
      <alignment horizontal="center" vertical="center"/>
    </xf>
    <xf numFmtId="168" fontId="50" fillId="0" borderId="85" xfId="0" applyNumberFormat="1" applyFont="1" applyBorder="1" applyAlignment="1">
      <alignment horizontal="center" vertical="center"/>
    </xf>
    <xf numFmtId="168" fontId="50" fillId="0" borderId="55" xfId="0" applyNumberFormat="1" applyFont="1" applyBorder="1" applyAlignment="1">
      <alignment horizontal="center" vertical="center"/>
    </xf>
    <xf numFmtId="2" fontId="27" fillId="0" borderId="85" xfId="0" applyNumberFormat="1" applyFont="1" applyBorder="1" applyAlignment="1">
      <alignment horizontal="center" vertical="center"/>
    </xf>
    <xf numFmtId="2" fontId="27" fillId="0" borderId="55" xfId="0" applyNumberFormat="1" applyFont="1" applyBorder="1" applyAlignment="1">
      <alignment horizontal="center" vertical="center"/>
    </xf>
    <xf numFmtId="1" fontId="27" fillId="0" borderId="54" xfId="0" applyNumberFormat="1" applyFont="1" applyBorder="1" applyAlignment="1">
      <alignment horizontal="center" vertical="center"/>
    </xf>
    <xf numFmtId="1" fontId="27" fillId="0" borderId="85" xfId="0" applyNumberFormat="1" applyFont="1" applyBorder="1" applyAlignment="1">
      <alignment horizontal="center" vertical="center"/>
    </xf>
    <xf numFmtId="1" fontId="27" fillId="0" borderId="55" xfId="0" applyNumberFormat="1" applyFont="1" applyBorder="1" applyAlignment="1">
      <alignment horizontal="center" vertical="center"/>
    </xf>
    <xf numFmtId="168" fontId="27" fillId="0" borderId="54" xfId="0" applyNumberFormat="1" applyFont="1" applyBorder="1" applyAlignment="1">
      <alignment horizontal="center" vertical="center"/>
    </xf>
    <xf numFmtId="168" fontId="27" fillId="0" borderId="85" xfId="0" applyNumberFormat="1" applyFont="1" applyBorder="1" applyAlignment="1">
      <alignment horizontal="center" vertical="center"/>
    </xf>
    <xf numFmtId="168" fontId="27" fillId="0" borderId="55" xfId="0" applyNumberFormat="1" applyFont="1" applyBorder="1" applyAlignment="1">
      <alignment horizontal="center" vertical="center"/>
    </xf>
    <xf numFmtId="0" fontId="27" fillId="0" borderId="54" xfId="0" applyFont="1" applyBorder="1" applyAlignment="1">
      <alignment horizontal="center"/>
    </xf>
    <xf numFmtId="0" fontId="27" fillId="0" borderId="85" xfId="0" applyFont="1" applyBorder="1" applyAlignment="1">
      <alignment horizontal="center"/>
    </xf>
    <xf numFmtId="0" fontId="27" fillId="0" borderId="55" xfId="0" applyFont="1" applyBorder="1" applyAlignment="1">
      <alignment horizontal="center"/>
    </xf>
    <xf numFmtId="168" fontId="27" fillId="0" borderId="54" xfId="0" applyNumberFormat="1" applyFont="1" applyBorder="1" applyAlignment="1">
      <alignment horizontal="center"/>
    </xf>
    <xf numFmtId="168" fontId="27" fillId="0" borderId="85" xfId="0" applyNumberFormat="1" applyFont="1" applyBorder="1" applyAlignment="1">
      <alignment horizontal="center"/>
    </xf>
    <xf numFmtId="168" fontId="27" fillId="0" borderId="55" xfId="0" applyNumberFormat="1" applyFont="1" applyBorder="1" applyAlignment="1">
      <alignment horizontal="center"/>
    </xf>
    <xf numFmtId="0" fontId="33" fillId="0" borderId="4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54" fillId="6" borderId="167" xfId="0" applyFont="1" applyFill="1" applyBorder="1" applyAlignment="1" applyProtection="1">
      <alignment horizontal="center" vertical="center"/>
      <protection locked="0"/>
    </xf>
    <xf numFmtId="0" fontId="54" fillId="6" borderId="168" xfId="0" applyFont="1" applyFill="1" applyBorder="1" applyAlignment="1" applyProtection="1">
      <alignment horizontal="center" vertical="center"/>
      <protection locked="0"/>
    </xf>
    <xf numFmtId="0" fontId="57" fillId="4" borderId="54" xfId="0" applyFont="1" applyFill="1" applyBorder="1" applyAlignment="1">
      <alignment horizontal="left" vertical="center" indent="1"/>
    </xf>
    <xf numFmtId="0" fontId="57" fillId="4" borderId="85" xfId="0" applyFont="1" applyFill="1" applyBorder="1" applyAlignment="1">
      <alignment horizontal="left" vertical="center" indent="1"/>
    </xf>
    <xf numFmtId="0" fontId="57" fillId="4" borderId="55" xfId="0" applyFont="1" applyFill="1" applyBorder="1" applyAlignment="1">
      <alignment horizontal="left" vertical="center" indent="1"/>
    </xf>
    <xf numFmtId="0" fontId="57" fillId="4" borderId="60" xfId="0" applyFont="1" applyFill="1" applyBorder="1" applyAlignment="1">
      <alignment horizontal="left" vertical="center" indent="1"/>
    </xf>
    <xf numFmtId="0" fontId="57" fillId="4" borderId="66" xfId="0" applyFont="1" applyFill="1" applyBorder="1" applyAlignment="1">
      <alignment horizontal="left" vertical="center" indent="1"/>
    </xf>
    <xf numFmtId="0" fontId="27" fillId="0" borderId="63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158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9" fillId="5" borderId="24" xfId="5" applyFont="1" applyFill="1" applyBorder="1" applyAlignment="1" applyProtection="1">
      <alignment horizontal="center" vertical="center"/>
    </xf>
    <xf numFmtId="0" fontId="11" fillId="4" borderId="25" xfId="5" applyFont="1" applyFill="1" applyBorder="1" applyAlignment="1" applyProtection="1">
      <alignment horizontal="left" vertical="center"/>
    </xf>
    <xf numFmtId="170" fontId="9" fillId="10" borderId="24" xfId="5" applyNumberFormat="1" applyFont="1" applyFill="1" applyBorder="1" applyAlignment="1" applyProtection="1">
      <alignment horizontal="center" vertical="center"/>
    </xf>
    <xf numFmtId="170" fontId="9" fillId="10" borderId="25" xfId="5" applyNumberFormat="1" applyFont="1" applyFill="1" applyBorder="1" applyAlignment="1" applyProtection="1">
      <alignment horizontal="center" vertical="center"/>
    </xf>
    <xf numFmtId="169" fontId="9" fillId="10" borderId="24" xfId="5" applyNumberFormat="1" applyFont="1" applyFill="1" applyBorder="1" applyAlignment="1" applyProtection="1">
      <alignment horizontal="center" vertical="center"/>
    </xf>
    <xf numFmtId="0" fontId="11" fillId="7" borderId="25" xfId="5" applyFont="1" applyFill="1" applyBorder="1" applyAlignment="1" applyProtection="1">
      <alignment horizontal="left" vertical="center"/>
    </xf>
    <xf numFmtId="1" fontId="9" fillId="10" borderId="24" xfId="5" applyNumberFormat="1" applyFont="1" applyFill="1" applyBorder="1" applyAlignment="1" applyProtection="1">
      <alignment horizontal="center" vertical="center"/>
    </xf>
    <xf numFmtId="0" fontId="24" fillId="0" borderId="0" xfId="5" applyFont="1" applyBorder="1" applyAlignment="1" applyProtection="1">
      <alignment horizontal="center" vertical="center"/>
    </xf>
    <xf numFmtId="0" fontId="9" fillId="4" borderId="24" xfId="5" applyFont="1" applyFill="1" applyBorder="1" applyAlignment="1" applyProtection="1">
      <alignment horizontal="center" vertical="center"/>
    </xf>
    <xf numFmtId="0" fontId="9" fillId="6" borderId="24" xfId="5" applyFont="1" applyFill="1" applyBorder="1" applyAlignment="1" applyProtection="1">
      <alignment horizontal="center" vertical="center"/>
      <protection locked="0"/>
    </xf>
    <xf numFmtId="0" fontId="11" fillId="6" borderId="25" xfId="5" applyFont="1" applyFill="1" applyBorder="1" applyAlignment="1" applyProtection="1">
      <alignment horizontal="left" vertical="center"/>
      <protection locked="0"/>
    </xf>
    <xf numFmtId="0" fontId="9" fillId="5" borderId="26" xfId="5" applyFont="1" applyFill="1" applyBorder="1" applyAlignment="1" applyProtection="1">
      <alignment horizontal="left" vertical="center" indent="1"/>
    </xf>
    <xf numFmtId="0" fontId="11" fillId="4" borderId="30" xfId="5" applyFont="1" applyFill="1" applyBorder="1" applyAlignment="1" applyProtection="1">
      <alignment horizontal="left" vertical="center" indent="1"/>
    </xf>
    <xf numFmtId="0" fontId="11" fillId="4" borderId="28" xfId="5" applyFont="1" applyFill="1" applyBorder="1" applyAlignment="1" applyProtection="1">
      <alignment horizontal="left" vertical="center" indent="1"/>
    </xf>
    <xf numFmtId="168" fontId="20" fillId="10" borderId="24" xfId="5" applyNumberFormat="1" applyFont="1" applyFill="1" applyBorder="1" applyAlignment="1" applyProtection="1">
      <alignment horizontal="center" vertical="center"/>
    </xf>
    <xf numFmtId="168" fontId="20" fillId="10" borderId="25" xfId="5" applyNumberFormat="1" applyFont="1" applyFill="1" applyBorder="1" applyAlignment="1" applyProtection="1">
      <alignment horizontal="center" vertical="center"/>
    </xf>
    <xf numFmtId="169" fontId="9" fillId="10" borderId="25" xfId="5" applyNumberFormat="1" applyFont="1" applyFill="1" applyBorder="1" applyAlignment="1" applyProtection="1">
      <alignment horizontal="center" vertical="center"/>
    </xf>
    <xf numFmtId="171" fontId="9" fillId="10" borderId="24" xfId="5" applyNumberFormat="1" applyFont="1" applyFill="1" applyBorder="1" applyAlignment="1" applyProtection="1">
      <alignment horizontal="center" vertical="center"/>
    </xf>
    <xf numFmtId="171" fontId="9" fillId="10" borderId="25" xfId="5" applyNumberFormat="1" applyFont="1" applyFill="1" applyBorder="1" applyAlignment="1" applyProtection="1">
      <alignment horizontal="center" vertical="center"/>
    </xf>
    <xf numFmtId="168" fontId="9" fillId="10" borderId="24" xfId="5" applyNumberFormat="1" applyFont="1" applyFill="1" applyBorder="1" applyAlignment="1" applyProtection="1">
      <alignment horizontal="center" vertical="center"/>
    </xf>
    <xf numFmtId="168" fontId="9" fillId="10" borderId="25" xfId="5" applyNumberFormat="1" applyFont="1" applyFill="1" applyBorder="1" applyAlignment="1" applyProtection="1">
      <alignment horizontal="center" vertical="center"/>
    </xf>
    <xf numFmtId="191" fontId="9" fillId="7" borderId="54" xfId="17" applyNumberFormat="1" applyFont="1" applyFill="1" applyBorder="1" applyAlignment="1" applyProtection="1">
      <alignment horizontal="center" vertical="center"/>
    </xf>
    <xf numFmtId="191" fontId="9" fillId="7" borderId="55" xfId="17" applyNumberFormat="1" applyFont="1" applyFill="1" applyBorder="1" applyAlignment="1" applyProtection="1">
      <alignment horizontal="center" vertical="center"/>
    </xf>
    <xf numFmtId="0" fontId="36" fillId="0" borderId="0" xfId="17" applyFont="1" applyAlignment="1">
      <alignment horizontal="center" vertical="center"/>
    </xf>
    <xf numFmtId="0" fontId="9" fillId="4" borderId="54" xfId="17" applyFont="1" applyFill="1" applyBorder="1" applyAlignment="1" applyProtection="1">
      <alignment horizontal="center" vertical="center"/>
    </xf>
    <xf numFmtId="0" fontId="9" fillId="4" borderId="85" xfId="17" applyFont="1" applyFill="1" applyBorder="1" applyAlignment="1" applyProtection="1">
      <alignment horizontal="center" vertical="center"/>
    </xf>
    <xf numFmtId="192" fontId="33" fillId="6" borderId="54" xfId="17" applyNumberFormat="1" applyFont="1" applyFill="1" applyBorder="1" applyAlignment="1" applyProtection="1">
      <alignment horizontal="center" vertical="center"/>
      <protection locked="0"/>
    </xf>
    <xf numFmtId="192" fontId="33" fillId="6" borderId="85" xfId="17" applyNumberFormat="1" applyFont="1" applyFill="1" applyBorder="1" applyAlignment="1" applyProtection="1">
      <alignment horizontal="center" vertical="center"/>
      <protection locked="0"/>
    </xf>
    <xf numFmtId="0" fontId="20" fillId="4" borderId="54" xfId="17" applyFont="1" applyFill="1" applyBorder="1" applyAlignment="1" applyProtection="1">
      <alignment horizontal="center" vertical="center"/>
    </xf>
    <xf numFmtId="0" fontId="20" fillId="4" borderId="55" xfId="17" applyFont="1" applyFill="1" applyBorder="1" applyAlignment="1" applyProtection="1">
      <alignment horizontal="center" vertical="center"/>
    </xf>
    <xf numFmtId="2" fontId="33" fillId="6" borderId="54" xfId="17" applyNumberFormat="1" applyFont="1" applyFill="1" applyBorder="1" applyAlignment="1" applyProtection="1">
      <alignment horizontal="center" vertical="center"/>
      <protection locked="0"/>
    </xf>
    <xf numFmtId="2" fontId="33" fillId="6" borderId="55" xfId="17" applyNumberFormat="1" applyFont="1" applyFill="1" applyBorder="1" applyAlignment="1" applyProtection="1">
      <alignment horizontal="center" vertical="center"/>
      <protection locked="0"/>
    </xf>
    <xf numFmtId="0" fontId="9" fillId="0" borderId="0" xfId="17" applyFont="1" applyBorder="1" applyAlignment="1" applyProtection="1">
      <alignment horizontal="center" vertical="center"/>
    </xf>
    <xf numFmtId="0" fontId="24" fillId="12" borderId="9" xfId="17" quotePrefix="1" applyFont="1" applyFill="1" applyBorder="1" applyAlignment="1" applyProtection="1">
      <alignment horizontal="center" vertical="center"/>
    </xf>
    <xf numFmtId="0" fontId="61" fillId="4" borderId="9" xfId="17" quotePrefix="1" applyFont="1" applyFill="1" applyBorder="1" applyAlignment="1" applyProtection="1">
      <alignment horizontal="center" vertical="center" wrapText="1"/>
    </xf>
    <xf numFmtId="191" fontId="9" fillId="7" borderId="86" xfId="17" applyNumberFormat="1" applyFont="1" applyFill="1" applyBorder="1" applyAlignment="1" applyProtection="1">
      <alignment horizontal="center" vertical="center"/>
    </xf>
    <xf numFmtId="191" fontId="9" fillId="7" borderId="87" xfId="17" applyNumberFormat="1" applyFont="1" applyFill="1" applyBorder="1" applyAlignment="1" applyProtection="1">
      <alignment horizontal="center" vertical="center"/>
    </xf>
    <xf numFmtId="0" fontId="61" fillId="4" borderId="61" xfId="17" quotePrefix="1" applyFont="1" applyFill="1" applyBorder="1" applyAlignment="1" applyProtection="1">
      <alignment horizontal="center" vertical="center" wrapText="1"/>
    </xf>
    <xf numFmtId="0" fontId="61" fillId="4" borderId="15" xfId="17" quotePrefix="1" applyFont="1" applyFill="1" applyBorder="1" applyAlignment="1" applyProtection="1">
      <alignment horizontal="center" vertical="center" wrapText="1"/>
    </xf>
    <xf numFmtId="0" fontId="20" fillId="4" borderId="9" xfId="17" applyFont="1" applyFill="1" applyBorder="1" applyAlignment="1" applyProtection="1">
      <alignment horizontal="center" vertical="center"/>
    </xf>
    <xf numFmtId="0" fontId="33" fillId="0" borderId="9" xfId="14" applyFont="1" applyBorder="1" applyAlignment="1">
      <alignment horizontal="left" vertical="center" indent="1"/>
    </xf>
    <xf numFmtId="0" fontId="33" fillId="0" borderId="71" xfId="14" applyFont="1" applyBorder="1" applyAlignment="1">
      <alignment horizontal="left" vertical="center" indent="1"/>
    </xf>
    <xf numFmtId="0" fontId="33" fillId="4" borderId="142" xfId="15" applyFont="1" applyFill="1" applyBorder="1" applyAlignment="1" applyProtection="1">
      <alignment horizontal="left" vertical="center" indent="1"/>
    </xf>
    <xf numFmtId="0" fontId="33" fillId="4" borderId="143" xfId="15" applyFont="1" applyFill="1" applyBorder="1" applyAlignment="1" applyProtection="1">
      <alignment horizontal="left" vertical="center" indent="1"/>
    </xf>
    <xf numFmtId="165" fontId="42" fillId="7" borderId="122" xfId="15" applyNumberFormat="1" applyFont="1" applyFill="1" applyBorder="1" applyAlignment="1" applyProtection="1">
      <alignment horizontal="center" vertical="center"/>
    </xf>
    <xf numFmtId="165" fontId="42" fillId="7" borderId="123" xfId="15" applyNumberFormat="1" applyFont="1" applyFill="1" applyBorder="1" applyAlignment="1" applyProtection="1">
      <alignment horizontal="center" vertical="center"/>
    </xf>
    <xf numFmtId="0" fontId="33" fillId="4" borderId="135" xfId="15" applyFont="1" applyFill="1" applyBorder="1" applyAlignment="1" applyProtection="1">
      <alignment horizontal="left" vertical="center" indent="1"/>
    </xf>
    <xf numFmtId="0" fontId="33" fillId="4" borderId="136" xfId="15" applyFont="1" applyFill="1" applyBorder="1" applyAlignment="1" applyProtection="1">
      <alignment horizontal="left" vertical="center" indent="1"/>
    </xf>
    <xf numFmtId="0" fontId="33" fillId="4" borderId="139" xfId="15" applyFont="1" applyFill="1" applyBorder="1" applyAlignment="1" applyProtection="1">
      <alignment horizontal="center" vertical="center"/>
    </xf>
    <xf numFmtId="0" fontId="33" fillId="4" borderId="55" xfId="15" applyFont="1" applyFill="1" applyBorder="1" applyAlignment="1" applyProtection="1">
      <alignment horizontal="center" vertical="center"/>
    </xf>
    <xf numFmtId="0" fontId="33" fillId="4" borderId="140" xfId="15" applyFont="1" applyFill="1" applyBorder="1" applyAlignment="1" applyProtection="1">
      <alignment horizontal="left" vertical="center" indent="1"/>
    </xf>
    <xf numFmtId="0" fontId="33" fillId="4" borderId="44" xfId="15" applyFont="1" applyFill="1" applyBorder="1" applyAlignment="1" applyProtection="1">
      <alignment horizontal="left" vertical="center" indent="1"/>
    </xf>
    <xf numFmtId="0" fontId="33" fillId="4" borderId="141" xfId="15" applyFont="1" applyFill="1" applyBorder="1" applyAlignment="1" applyProtection="1">
      <alignment horizontal="left" vertical="center" indent="1"/>
    </xf>
    <xf numFmtId="0" fontId="33" fillId="4" borderId="47" xfId="15" applyFont="1" applyFill="1" applyBorder="1" applyAlignment="1" applyProtection="1">
      <alignment horizontal="left" vertical="center" indent="1"/>
    </xf>
    <xf numFmtId="0" fontId="42" fillId="4" borderId="105" xfId="15" applyFont="1" applyFill="1" applyBorder="1" applyAlignment="1" applyProtection="1">
      <alignment horizontal="center" vertical="center" wrapText="1"/>
    </xf>
    <xf numFmtId="0" fontId="42" fillId="4" borderId="127" xfId="15" applyFont="1" applyFill="1" applyBorder="1" applyAlignment="1" applyProtection="1">
      <alignment horizontal="center" vertical="center" wrapText="1"/>
    </xf>
    <xf numFmtId="0" fontId="42" fillId="4" borderId="111" xfId="15" applyFont="1" applyFill="1" applyBorder="1" applyAlignment="1" applyProtection="1">
      <alignment horizontal="center" vertical="center" wrapText="1"/>
    </xf>
    <xf numFmtId="0" fontId="42" fillId="4" borderId="130" xfId="15" applyFont="1" applyFill="1" applyBorder="1" applyAlignment="1" applyProtection="1">
      <alignment horizontal="center" vertical="center" wrapText="1"/>
    </xf>
    <xf numFmtId="0" fontId="33" fillId="4" borderId="114" xfId="15" applyFont="1" applyFill="1" applyBorder="1" applyAlignment="1" applyProtection="1">
      <alignment horizontal="center" vertical="center"/>
    </xf>
    <xf numFmtId="0" fontId="33" fillId="4" borderId="115" xfId="15" applyFont="1" applyFill="1" applyBorder="1" applyAlignment="1" applyProtection="1">
      <alignment horizontal="center" vertical="center"/>
    </xf>
    <xf numFmtId="0" fontId="33" fillId="4" borderId="129" xfId="15" applyFont="1" applyFill="1" applyBorder="1" applyAlignment="1" applyProtection="1">
      <alignment horizontal="center" vertical="center"/>
    </xf>
    <xf numFmtId="0" fontId="42" fillId="4" borderId="104" xfId="15" applyFont="1" applyFill="1" applyBorder="1" applyAlignment="1" applyProtection="1">
      <alignment horizontal="center" vertical="center" wrapText="1"/>
    </xf>
    <xf numFmtId="0" fontId="42" fillId="4" borderId="126" xfId="15" applyFont="1" applyFill="1" applyBorder="1" applyAlignment="1" applyProtection="1">
      <alignment horizontal="center" vertical="center" wrapText="1"/>
    </xf>
    <xf numFmtId="2" fontId="42" fillId="4" borderId="109" xfId="15" applyNumberFormat="1" applyFont="1" applyFill="1" applyBorder="1" applyAlignment="1" applyProtection="1">
      <alignment horizontal="center" vertical="center" wrapText="1"/>
    </xf>
    <xf numFmtId="2" fontId="42" fillId="4" borderId="16" xfId="15" applyNumberFormat="1" applyFont="1" applyFill="1" applyBorder="1" applyAlignment="1" applyProtection="1">
      <alignment horizontal="center" vertical="center" wrapText="1"/>
    </xf>
    <xf numFmtId="2" fontId="42" fillId="4" borderId="107" xfId="15" applyNumberFormat="1" applyFont="1" applyFill="1" applyBorder="1" applyAlignment="1" applyProtection="1">
      <alignment horizontal="center" vertical="center" wrapText="1"/>
    </xf>
    <xf numFmtId="2" fontId="42" fillId="4" borderId="110" xfId="15" applyNumberFormat="1" applyFont="1" applyFill="1" applyBorder="1" applyAlignment="1" applyProtection="1">
      <alignment horizontal="center" vertical="center"/>
    </xf>
    <xf numFmtId="2" fontId="42" fillId="4" borderId="16" xfId="15" applyNumberFormat="1" applyFont="1" applyFill="1" applyBorder="1" applyAlignment="1" applyProtection="1">
      <alignment horizontal="center" vertical="center"/>
    </xf>
    <xf numFmtId="2" fontId="42" fillId="4" borderId="108" xfId="15" applyNumberFormat="1" applyFont="1" applyFill="1" applyBorder="1" applyAlignment="1" applyProtection="1">
      <alignment horizontal="center" vertical="center"/>
    </xf>
    <xf numFmtId="2" fontId="42" fillId="4" borderId="110" xfId="15" applyNumberFormat="1" applyFont="1" applyFill="1" applyBorder="1" applyAlignment="1" applyProtection="1">
      <alignment horizontal="center" vertical="center" wrapText="1"/>
    </xf>
    <xf numFmtId="2" fontId="42" fillId="4" borderId="108" xfId="15" applyNumberFormat="1" applyFont="1" applyFill="1" applyBorder="1" applyAlignment="1" applyProtection="1">
      <alignment horizontal="center" vertical="center" wrapText="1"/>
    </xf>
    <xf numFmtId="0" fontId="43" fillId="0" borderId="0" xfId="15" applyFont="1" applyAlignment="1" applyProtection="1">
      <alignment horizontal="center" vertical="center"/>
    </xf>
    <xf numFmtId="0" fontId="42" fillId="4" borderId="106" xfId="15" applyFont="1" applyFill="1" applyBorder="1" applyAlignment="1" applyProtection="1">
      <alignment horizontal="center" vertical="center" wrapText="1"/>
    </xf>
    <xf numFmtId="0" fontId="42" fillId="4" borderId="128" xfId="15" applyFont="1" applyFill="1" applyBorder="1" applyAlignment="1" applyProtection="1">
      <alignment horizontal="center" vertical="center" wrapText="1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 wrapText="1"/>
    </xf>
    <xf numFmtId="0" fontId="33" fillId="7" borderId="27" xfId="0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horizontal="center" vertical="center" wrapText="1"/>
    </xf>
    <xf numFmtId="0" fontId="33" fillId="4" borderId="29" xfId="0" applyFont="1" applyFill="1" applyBorder="1" applyAlignment="1">
      <alignment horizontal="center" vertical="center" wrapText="1"/>
    </xf>
    <xf numFmtId="0" fontId="33" fillId="4" borderId="25" xfId="0" applyFont="1" applyFill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21" fillId="0" borderId="60" xfId="13" applyFont="1" applyBorder="1" applyAlignment="1" applyProtection="1">
      <alignment horizontal="center" vertical="center"/>
      <protection locked="0"/>
    </xf>
    <xf numFmtId="0" fontId="19" fillId="6" borderId="54" xfId="13" applyFont="1" applyFill="1" applyBorder="1" applyAlignment="1" applyProtection="1">
      <alignment horizontal="center" vertical="center"/>
      <protection locked="0"/>
    </xf>
    <xf numFmtId="0" fontId="19" fillId="6" borderId="55" xfId="13" applyFont="1" applyFill="1" applyBorder="1" applyAlignment="1" applyProtection="1">
      <alignment horizontal="center" vertical="center"/>
      <protection locked="0"/>
    </xf>
    <xf numFmtId="164" fontId="13" fillId="0" borderId="11" xfId="0" applyNumberFormat="1" applyFont="1" applyBorder="1" applyAlignment="1" applyProtection="1">
      <alignment horizontal="center" vertical="center"/>
    </xf>
    <xf numFmtId="164" fontId="13" fillId="0" borderId="0" xfId="0" applyNumberFormat="1" applyFont="1" applyAlignment="1" applyProtection="1">
      <alignment horizontal="center" vertical="center"/>
    </xf>
    <xf numFmtId="0" fontId="11" fillId="6" borderId="18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horizontal="center" vertical="center"/>
      <protection locked="0"/>
    </xf>
    <xf numFmtId="0" fontId="11" fillId="6" borderId="20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1" fontId="15" fillId="0" borderId="0" xfId="0" applyNumberFormat="1" applyFont="1" applyBorder="1" applyAlignment="1" applyProtection="1">
      <alignment horizontal="right" vertical="top" wrapText="1" indent="1"/>
    </xf>
    <xf numFmtId="1" fontId="15" fillId="0" borderId="4" xfId="0" applyNumberFormat="1" applyFont="1" applyBorder="1" applyAlignment="1" applyProtection="1">
      <alignment horizontal="right" vertical="top" wrapText="1" indent="1"/>
    </xf>
    <xf numFmtId="1" fontId="15" fillId="0" borderId="0" xfId="0" applyNumberFormat="1" applyFont="1" applyBorder="1" applyAlignment="1" applyProtection="1">
      <alignment horizontal="right" wrapText="1" indent="1"/>
    </xf>
    <xf numFmtId="1" fontId="15" fillId="0" borderId="4" xfId="0" applyNumberFormat="1" applyFont="1" applyBorder="1" applyAlignment="1" applyProtection="1">
      <alignment horizontal="right" wrapText="1" indent="1"/>
    </xf>
  </cellXfs>
  <cellStyles count="18">
    <cellStyle name="Comma 2" xfId="6" xr:uid="{00000000-0005-0000-0000-000000000000}"/>
    <cellStyle name="Hyperlink" xfId="16" builtinId="8"/>
    <cellStyle name="Normal" xfId="0" builtinId="0"/>
    <cellStyle name="Normal 2" xfId="5" xr:uid="{00000000-0005-0000-0000-000001000000}"/>
    <cellStyle name="Normal 2 2" xfId="7" xr:uid="{00000000-0005-0000-0000-000002000000}"/>
    <cellStyle name="Normal 3" xfId="8" xr:uid="{00000000-0005-0000-0000-000003000000}"/>
    <cellStyle name="Normal 4" xfId="12" xr:uid="{00000000-0005-0000-0000-000004000000}"/>
    <cellStyle name="Normal 5" xfId="13" xr:uid="{00000000-0005-0000-0000-000005000000}"/>
    <cellStyle name="Normal 6" xfId="14" xr:uid="{00000000-0005-0000-0000-000006000000}"/>
    <cellStyle name="Normal 7" xfId="15" xr:uid="{00000000-0005-0000-0000-000007000000}"/>
    <cellStyle name="Normal 8" xfId="17" xr:uid="{00000000-0005-0000-0000-000008000000}"/>
    <cellStyle name="Percent 2" xfId="9" xr:uid="{00000000-0005-0000-0000-000009000000}"/>
    <cellStyle name="Гиперссылка 2" xfId="1" xr:uid="{00000000-0005-0000-0000-00000B000000}"/>
    <cellStyle name="Обычный 2" xfId="2" xr:uid="{00000000-0005-0000-0000-00000D000000}"/>
    <cellStyle name="Обычный 2 2" xfId="10" xr:uid="{00000000-0005-0000-0000-00000E000000}"/>
    <cellStyle name="Обычный 3" xfId="3" xr:uid="{00000000-0005-0000-0000-00000F000000}"/>
    <cellStyle name="Обычный 3 2" xfId="11" xr:uid="{00000000-0005-0000-0000-000010000000}"/>
    <cellStyle name="Обычный 4" xfId="4" xr:uid="{00000000-0005-0000-0000-000011000000}"/>
  </cellStyles>
  <dxfs count="2"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86593475912144E-2"/>
          <c:y val="2.8099493163986002E-2"/>
          <c:w val="0.98287671232876761"/>
          <c:h val="0.94876033057851328"/>
        </c:manualLayout>
      </c:layout>
      <c:pieChart>
        <c:varyColors val="1"/>
        <c:ser>
          <c:idx val="2"/>
          <c:order val="0"/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  <a:prstDash val="solid"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6350">
                <a:solidFill>
                  <a:schemeClr val="tx1"/>
                </a:solidFill>
                <a:prstDash val="dashDot"/>
              </a:ln>
            </c:spPr>
            <c:extLst>
              <c:ext xmlns:c16="http://schemas.microsoft.com/office/drawing/2014/chart" uri="{C3380CC4-5D6E-409C-BE32-E72D297353CC}">
                <c16:uniqueId val="{00000000-B02E-4D87-BB8F-77C7273431A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'RADAR 1'!$L$3:$L$7</c:f>
              <c:strCache>
                <c:ptCount val="2"/>
                <c:pt idx="1">
                  <c:v>30⁰</c:v>
                </c:pt>
              </c:strCache>
            </c:strRef>
          </c:cat>
          <c:val>
            <c:numRef>
              <c:f>'RADAR 1'!$K$8</c:f>
              <c:numCache>
                <c:formatCode>0"⁰"</c:formatCode>
                <c:ptCount val="1"/>
                <c:pt idx="0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E-4D87-BB8F-77C72734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fa-IR"/>
    </a:p>
  </c:txPr>
  <c:printSettings>
    <c:headerFooter alignWithMargins="0"/>
    <c:pageMargins b="0.39370078740157488" l="0.39370078740157488" r="0.39370078740157488" t="0.39370078740157488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273972602739724E-2"/>
          <c:y val="2.8099173553719041E-2"/>
          <c:w val="0.98287671232876761"/>
          <c:h val="0.94876033057851294"/>
        </c:manualLayout>
      </c:layout>
      <c:doughnutChart>
        <c:varyColors val="0"/>
        <c:ser>
          <c:idx val="2"/>
          <c:order val="0"/>
          <c:spPr>
            <a:noFill/>
            <a:ln w="12700">
              <a:solidFill>
                <a:schemeClr val="tx1">
                  <a:lumMod val="85000"/>
                  <a:lumOff val="15000"/>
                </a:schemeClr>
              </a:solidFill>
              <a:prstDash val="dash"/>
            </a:ln>
          </c:spPr>
          <c:dPt>
            <c:idx val="1"/>
            <c:bubble3D val="0"/>
            <c:spPr>
              <a:solidFill>
                <a:schemeClr val="bg1">
                  <a:lumMod val="65000"/>
                  <a:alpha val="85000"/>
                </a:schemeClr>
              </a:solidFill>
              <a:ln w="12700">
                <a:solidFill>
                  <a:schemeClr val="tx1">
                    <a:lumMod val="85000"/>
                    <a:lumOff val="15000"/>
                  </a:schemeClr>
                </a:solidFill>
                <a:prstDash val="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0-1CB6-43C0-A42E-29C06B2385BB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2700" cap="sq">
                <a:solidFill>
                  <a:schemeClr val="tx1">
                    <a:lumMod val="85000"/>
                    <a:lumOff val="15000"/>
                  </a:schemeClr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B6-43C0-A42E-29C06B2385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Times New Roman" pitchFamily="18" charset="0"/>
                    <a:cs typeface="Times New Roman" pitchFamily="18" charset="0"/>
                  </a:defRPr>
                </a:pPr>
                <a:endParaRPr lang="fa-I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'RADAR 1'!$L$3:$L$7</c:f>
              <c:strCache>
                <c:ptCount val="2"/>
                <c:pt idx="1">
                  <c:v>30⁰</c:v>
                </c:pt>
              </c:strCache>
            </c:strRef>
          </c:cat>
          <c:val>
            <c:numRef>
              <c:f>'RADAR 1'!$K$3:$K$7</c:f>
              <c:numCache>
                <c:formatCode>0"⁰"</c:formatCode>
                <c:ptCount val="5"/>
                <c:pt idx="0">
                  <c:v>163</c:v>
                </c:pt>
                <c:pt idx="1">
                  <c:v>30</c:v>
                </c:pt>
                <c:pt idx="2">
                  <c:v>0</c:v>
                </c:pt>
                <c:pt idx="3">
                  <c:v>0</c:v>
                </c:pt>
                <c:pt idx="4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B6-43C0-A42E-29C06B238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fa-IR"/>
    </a:p>
  </c:txPr>
  <c:printSettings>
    <c:headerFooter alignWithMargins="0"/>
    <c:pageMargins b="0.39370078740157488" l="0.39370078740157488" r="0.39370078740157488" t="0.39370078740157488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273972602739724E-2"/>
          <c:y val="2.8099173553719055E-2"/>
          <c:w val="0.98287671232876761"/>
          <c:h val="0.94876033057851328"/>
        </c:manualLayout>
      </c:layout>
      <c:pieChart>
        <c:varyColors val="1"/>
        <c:ser>
          <c:idx val="2"/>
          <c:order val="0"/>
          <c:spPr>
            <a:noFill/>
            <a:ln w="6350">
              <a:noFill/>
              <a:prstDash val="solid"/>
            </a:ln>
          </c:spPr>
          <c:dPt>
            <c:idx val="0"/>
            <c:bubble3D val="0"/>
            <c:spPr>
              <a:noFill/>
              <a:ln w="6350">
                <a:noFill/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0-AE5E-45CB-A471-C2A2A76A2246}"/>
              </c:ext>
            </c:extLst>
          </c:dPt>
          <c:dPt>
            <c:idx val="1"/>
            <c:bubble3D val="0"/>
            <c:spPr>
              <a:noFill/>
              <a:ln w="6350">
                <a:noFill/>
                <a:prstDash val="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5E-45CB-A471-C2A2A76A2246}"/>
              </c:ext>
            </c:extLst>
          </c:dPt>
          <c:dPt>
            <c:idx val="2"/>
            <c:bubble3D val="0"/>
            <c:spPr>
              <a:noFill/>
              <a:ln w="6350">
                <a:noFill/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2-AE5E-45CB-A471-C2A2A76A2246}"/>
              </c:ext>
            </c:extLst>
          </c:dPt>
          <c:dPt>
            <c:idx val="3"/>
            <c:bubble3D val="0"/>
            <c:spPr>
              <a:noFill/>
              <a:ln w="6350" cap="sq">
                <a:noFill/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5E-45CB-A471-C2A2A76A2246}"/>
              </c:ext>
            </c:extLst>
          </c:dPt>
          <c:dPt>
            <c:idx val="4"/>
            <c:bubble3D val="0"/>
            <c:spPr>
              <a:noFill/>
              <a:ln w="6350">
                <a:noFill/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4-AE5E-45CB-A471-C2A2A76A2246}"/>
              </c:ext>
            </c:extLst>
          </c:dPt>
          <c:dLbls>
            <c:dLbl>
              <c:idx val="1"/>
              <c:layout>
                <c:manualLayout>
                  <c:x val="-1.3371537726838597E-2"/>
                  <c:y val="-2.203856749311296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E-45CB-A471-C2A2A76A2246}"/>
                </c:ext>
              </c:extLst>
            </c:dLbl>
            <c:dLbl>
              <c:idx val="3"/>
              <c:layout>
                <c:manualLayout>
                  <c:x val="-1.632653061224490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E-45CB-A471-C2A2A76A2246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 anchor="ctr" anchorCtr="0"/>
              <a:lstStyle/>
              <a:p>
                <a:pPr>
                  <a:defRPr sz="16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fa-I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'RADAR 1'!$M$3:$M$7</c:f>
              <c:strCache>
                <c:ptCount val="2"/>
                <c:pt idx="1">
                  <c:v>163⁰ - 193⁰</c:v>
                </c:pt>
              </c:strCache>
            </c:strRef>
          </c:cat>
          <c:val>
            <c:numRef>
              <c:f>'RADAR 1'!$K$3:$K$7</c:f>
              <c:numCache>
                <c:formatCode>0"⁰"</c:formatCode>
                <c:ptCount val="5"/>
                <c:pt idx="0">
                  <c:v>163</c:v>
                </c:pt>
                <c:pt idx="1">
                  <c:v>30</c:v>
                </c:pt>
                <c:pt idx="2">
                  <c:v>0</c:v>
                </c:pt>
                <c:pt idx="3">
                  <c:v>0</c:v>
                </c:pt>
                <c:pt idx="4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5E-45CB-A471-C2A2A76A2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fa-IR"/>
    </a:p>
  </c:txPr>
  <c:printSettings>
    <c:headerFooter alignWithMargins="0"/>
    <c:pageMargins b="0.39370078740157488" l="0.39370078740157488" r="0.39370078740157488" t="0.39370078740157488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86593475912144E-2"/>
          <c:y val="2.8099493163986002E-2"/>
          <c:w val="0.98287671232876761"/>
          <c:h val="0.94876033057851328"/>
        </c:manualLayout>
      </c:layout>
      <c:pieChart>
        <c:varyColors val="1"/>
        <c:ser>
          <c:idx val="2"/>
          <c:order val="0"/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  <a:prstDash val="solid"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6350">
                <a:solidFill>
                  <a:schemeClr val="tx1"/>
                </a:solidFill>
                <a:prstDash val="dashDot"/>
              </a:ln>
            </c:spPr>
            <c:extLst>
              <c:ext xmlns:c16="http://schemas.microsoft.com/office/drawing/2014/chart" uri="{C3380CC4-5D6E-409C-BE32-E72D297353CC}">
                <c16:uniqueId val="{00000000-7225-45EC-B342-D7D1BD467B1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'RADAR 2'!$L$3:$L$7</c:f>
              <c:strCache>
                <c:ptCount val="2"/>
                <c:pt idx="1">
                  <c:v>16⁰</c:v>
                </c:pt>
              </c:strCache>
            </c:strRef>
          </c:cat>
          <c:val>
            <c:numRef>
              <c:f>'RADAR 2'!$K$8</c:f>
              <c:numCache>
                <c:formatCode>0"⁰"</c:formatCode>
                <c:ptCount val="1"/>
                <c:pt idx="0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5-45EC-B342-D7D1BD467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fa-IR"/>
    </a:p>
  </c:txPr>
  <c:printSettings>
    <c:headerFooter alignWithMargins="0"/>
    <c:pageMargins b="0.39370078740157488" l="0.39370078740157488" r="0.39370078740157488" t="0.39370078740157488" header="0" footer="0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273972602739724E-2"/>
          <c:y val="2.8099173553719041E-2"/>
          <c:w val="0.98287671232876761"/>
          <c:h val="0.94876033057851294"/>
        </c:manualLayout>
      </c:layout>
      <c:doughnutChart>
        <c:varyColors val="0"/>
        <c:ser>
          <c:idx val="2"/>
          <c:order val="0"/>
          <c:spPr>
            <a:noFill/>
            <a:ln w="12700">
              <a:solidFill>
                <a:schemeClr val="tx1">
                  <a:lumMod val="85000"/>
                  <a:lumOff val="15000"/>
                </a:schemeClr>
              </a:solidFill>
              <a:prstDash val="dash"/>
            </a:ln>
          </c:spPr>
          <c:dPt>
            <c:idx val="1"/>
            <c:bubble3D val="0"/>
            <c:spPr>
              <a:solidFill>
                <a:schemeClr val="bg1">
                  <a:lumMod val="65000"/>
                  <a:alpha val="85000"/>
                </a:schemeClr>
              </a:solidFill>
              <a:ln w="12700">
                <a:solidFill>
                  <a:schemeClr val="tx1">
                    <a:lumMod val="85000"/>
                    <a:lumOff val="15000"/>
                  </a:schemeClr>
                </a:solidFill>
                <a:prstDash val="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0-A46E-45C0-95FC-EA14D1978E81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2700" cap="sq">
                <a:solidFill>
                  <a:schemeClr val="tx1">
                    <a:lumMod val="85000"/>
                    <a:lumOff val="15000"/>
                  </a:schemeClr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6E-45C0-95FC-EA14D1978E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Times New Roman" pitchFamily="18" charset="0"/>
                    <a:cs typeface="Times New Roman" pitchFamily="18" charset="0"/>
                  </a:defRPr>
                </a:pPr>
                <a:endParaRPr lang="fa-I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'RADAR 2'!$L$3:$L$7</c:f>
              <c:strCache>
                <c:ptCount val="2"/>
                <c:pt idx="1">
                  <c:v>16⁰</c:v>
                </c:pt>
              </c:strCache>
            </c:strRef>
          </c:cat>
          <c:val>
            <c:numRef>
              <c:f>'RADAR 2'!$K$3:$K$7</c:f>
              <c:numCache>
                <c:formatCode>0"⁰"</c:formatCode>
                <c:ptCount val="5"/>
                <c:pt idx="0">
                  <c:v>164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6E-45C0-95FC-EA14D1978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2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fa-IR"/>
    </a:p>
  </c:txPr>
  <c:printSettings>
    <c:headerFooter alignWithMargins="0"/>
    <c:pageMargins b="0.39370078740157488" l="0.39370078740157488" r="0.39370078740157488" t="0.39370078740157488" header="0" footer="0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273972602739724E-2"/>
          <c:y val="2.8099173553719055E-2"/>
          <c:w val="0.98287671232876761"/>
          <c:h val="0.94876033057851328"/>
        </c:manualLayout>
      </c:layout>
      <c:pieChart>
        <c:varyColors val="1"/>
        <c:ser>
          <c:idx val="2"/>
          <c:order val="0"/>
          <c:spPr>
            <a:noFill/>
            <a:ln w="6350">
              <a:noFill/>
              <a:prstDash val="solid"/>
            </a:ln>
          </c:spPr>
          <c:dPt>
            <c:idx val="0"/>
            <c:bubble3D val="0"/>
            <c:spPr>
              <a:noFill/>
              <a:ln w="6350">
                <a:noFill/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0-83A6-4177-8EC0-D12E2327AA4D}"/>
              </c:ext>
            </c:extLst>
          </c:dPt>
          <c:dPt>
            <c:idx val="1"/>
            <c:bubble3D val="0"/>
            <c:spPr>
              <a:noFill/>
              <a:ln w="6350">
                <a:noFill/>
                <a:prstDash val="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A6-4177-8EC0-D12E2327AA4D}"/>
              </c:ext>
            </c:extLst>
          </c:dPt>
          <c:dPt>
            <c:idx val="2"/>
            <c:bubble3D val="0"/>
            <c:spPr>
              <a:noFill/>
              <a:ln w="6350">
                <a:noFill/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2-83A6-4177-8EC0-D12E2327AA4D}"/>
              </c:ext>
            </c:extLst>
          </c:dPt>
          <c:dPt>
            <c:idx val="3"/>
            <c:bubble3D val="0"/>
            <c:spPr>
              <a:noFill/>
              <a:ln w="6350" cap="sq">
                <a:noFill/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3A6-4177-8EC0-D12E2327AA4D}"/>
              </c:ext>
            </c:extLst>
          </c:dPt>
          <c:dPt>
            <c:idx val="4"/>
            <c:bubble3D val="0"/>
            <c:spPr>
              <a:noFill/>
              <a:ln w="6350">
                <a:noFill/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4-83A6-4177-8EC0-D12E2327AA4D}"/>
              </c:ext>
            </c:extLst>
          </c:dPt>
          <c:dLbls>
            <c:dLbl>
              <c:idx val="1"/>
              <c:layout>
                <c:manualLayout>
                  <c:x val="-1.3371537726838597E-2"/>
                  <c:y val="-2.203856749311296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A6-4177-8EC0-D12E2327AA4D}"/>
                </c:ext>
              </c:extLst>
            </c:dLbl>
            <c:dLbl>
              <c:idx val="3"/>
              <c:layout>
                <c:manualLayout>
                  <c:x val="-1.632653061224490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A6-4177-8EC0-D12E2327AA4D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 anchor="ctr" anchorCtr="0"/>
              <a:lstStyle/>
              <a:p>
                <a:pPr>
                  <a:defRPr sz="1600" b="1" baseline="0"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fa-I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'RADAR 2'!$M$3:$M$7</c:f>
              <c:strCache>
                <c:ptCount val="2"/>
                <c:pt idx="1">
                  <c:v>164⁰ - 180⁰</c:v>
                </c:pt>
              </c:strCache>
            </c:strRef>
          </c:cat>
          <c:val>
            <c:numRef>
              <c:f>'RADAR 2'!$K$3:$K$7</c:f>
              <c:numCache>
                <c:formatCode>0"⁰"</c:formatCode>
                <c:ptCount val="5"/>
                <c:pt idx="0">
                  <c:v>164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A6-4177-8EC0-D12E2327A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fa-IR"/>
    </a:p>
  </c:txPr>
  <c:printSettings>
    <c:headerFooter alignWithMargins="0"/>
    <c:pageMargins b="0.39370078740157488" l="0.39370078740157488" r="0.39370078740157488" t="0.39370078740157488" header="0" footer="0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685799</xdr:colOff>
      <xdr:row>8</xdr:row>
      <xdr:rowOff>142875</xdr:rowOff>
    </xdr:from>
    <xdr:to>
      <xdr:col>9</xdr:col>
      <xdr:colOff>733424</xdr:colOff>
      <xdr:row>21</xdr:row>
      <xdr:rowOff>87440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 noChangeAspect="1"/>
        </xdr:cNvGrpSpPr>
      </xdr:nvGrpSpPr>
      <xdr:grpSpPr bwMode="auto">
        <a:xfrm>
          <a:off x="5324474" y="1619250"/>
          <a:ext cx="2276475" cy="2278190"/>
          <a:chOff x="863" y="200"/>
          <a:chExt cx="324" cy="3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>
            <a:grpSpLocks/>
          </xdr:cNvGrpSpPr>
        </xdr:nvGrpSpPr>
        <xdr:grpSpPr bwMode="auto">
          <a:xfrm>
            <a:off x="863" y="200"/>
            <a:ext cx="324" cy="315"/>
            <a:chOff x="430" y="178"/>
            <a:chExt cx="324" cy="315"/>
          </a:xfrm>
        </xdr:grpSpPr>
        <xdr:sp macro="" textlink="">
          <xdr:nvSpPr>
            <xdr:cNvPr id="8" name="Text Box 3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83" y="178"/>
              <a:ext cx="15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CCFFFF" mc:Ignorable="a14" a14:legacySpreadsheetColorIndex="4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18288" bIns="22860" anchor="ctr" upright="1">
              <a:spAutoFit/>
            </a:bodyPr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FF0000"/>
                  </a:solidFill>
                  <a:latin typeface="Times New Roman"/>
                  <a:cs typeface="Times New Roman"/>
                </a:rPr>
                <a:t>N</a:t>
              </a:r>
            </a:p>
          </xdr:txBody>
        </xdr:sp>
        <xdr:sp macro="" textlink="">
          <xdr:nvSpPr>
            <xdr:cNvPr id="9" name="Text Box 4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SpPr txBox="1">
              <a:spLocks noChangeAspect="1" noChangeArrowheads="1"/>
            </xdr:cNvSpPr>
          </xdr:nvSpPr>
          <xdr:spPr bwMode="auto">
            <a:xfrm>
              <a:off x="583" y="472"/>
              <a:ext cx="12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CCFFFF" mc:Ignorable="a14" a14:legacySpreadsheetColorIndex="4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18288" bIns="22860" anchor="ctr" upright="1">
              <a:spAutoFit/>
            </a:bodyPr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FF0000"/>
                  </a:solidFill>
                  <a:latin typeface="Times New Roman"/>
                  <a:cs typeface="Times New Roman"/>
                </a:rPr>
                <a:t>S</a:t>
              </a:r>
            </a:p>
          </xdr:txBody>
        </xdr:sp>
        <xdr:sp macro="" textlink="">
          <xdr:nvSpPr>
            <xdr:cNvPr id="10" name="Text Box 5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SpPr txBox="1">
              <a:spLocks noChangeAspect="1" noChangeArrowheads="1"/>
            </xdr:cNvSpPr>
          </xdr:nvSpPr>
          <xdr:spPr bwMode="auto">
            <a:xfrm>
              <a:off x="733" y="325"/>
              <a:ext cx="14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CCFFFF" mc:Ignorable="a14" a14:legacySpreadsheetColorIndex="4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18288" bIns="22860" anchor="ctr" upright="1">
              <a:spAutoFit/>
            </a:bodyPr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FF0000"/>
                  </a:solidFill>
                  <a:latin typeface="Times New Roman"/>
                  <a:cs typeface="Times New Roman"/>
                </a:rPr>
                <a:t>E</a:t>
              </a:r>
            </a:p>
          </xdr:txBody>
        </xdr:sp>
        <xdr:sp macro="" textlink="">
          <xdr:nvSpPr>
            <xdr:cNvPr id="11" name="Text Box 6">
              <a:extLst>
                <a:ext uri="{FF2B5EF4-FFF2-40B4-BE49-F238E27FC236}">
                  <a16:creationId xmlns:a16="http://schemas.microsoft.com/office/drawing/2014/main" id="{00000000-0008-0000-0400-00000B000000}"/>
                </a:ext>
              </a:extLst>
            </xdr:cNvPr>
            <xdr:cNvSpPr txBox="1">
              <a:spLocks noChangeAspect="1" noChangeArrowheads="1"/>
            </xdr:cNvSpPr>
          </xdr:nvSpPr>
          <xdr:spPr bwMode="auto">
            <a:xfrm>
              <a:off x="692" y="219"/>
              <a:ext cx="23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CCFFFF" mc:Ignorable="a14" a14:legacySpreadsheetColorIndex="4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18288" bIns="22860" anchor="ctr" upright="1">
              <a:spAutoFit/>
            </a:bodyPr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FF0000"/>
                  </a:solidFill>
                  <a:latin typeface="Times New Roman"/>
                  <a:cs typeface="Times New Roman"/>
                </a:rPr>
                <a:t>NE</a:t>
              </a:r>
            </a:p>
          </xdr:txBody>
        </xdr:sp>
        <xdr:sp macro="" textlink="">
          <xdr:nvSpPr>
            <xdr:cNvPr id="12" name="Text Box 7">
              <a:extLst>
                <a:ext uri="{FF2B5EF4-FFF2-40B4-BE49-F238E27FC236}">
                  <a16:creationId xmlns:a16="http://schemas.microsoft.com/office/drawing/2014/main" id="{00000000-0008-0000-0400-00000C000000}"/>
                </a:ext>
              </a:extLst>
            </xdr:cNvPr>
            <xdr:cNvSpPr txBox="1">
              <a:spLocks noChangeAspect="1" noChangeArrowheads="1"/>
            </xdr:cNvSpPr>
          </xdr:nvSpPr>
          <xdr:spPr bwMode="auto">
            <a:xfrm>
              <a:off x="435" y="325"/>
              <a:ext cx="18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CCFFFF" mc:Ignorable="a14" a14:legacySpreadsheetColorIndex="4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18288" bIns="22860" anchor="ctr" upright="1">
              <a:spAutoFit/>
            </a:bodyPr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FF0000"/>
                  </a:solidFill>
                  <a:latin typeface="Times New Roman"/>
                  <a:cs typeface="Times New Roman"/>
                </a:rPr>
                <a:t>W</a:t>
              </a:r>
            </a:p>
          </xdr:txBody>
        </xdr:sp>
        <xdr:sp macro="" textlink="">
          <xdr:nvSpPr>
            <xdr:cNvPr id="13" name="Text Box 8">
              <a:extLst>
                <a:ext uri="{FF2B5EF4-FFF2-40B4-BE49-F238E27FC236}">
                  <a16:creationId xmlns:a16="http://schemas.microsoft.com/office/drawing/2014/main" id="{00000000-0008-0000-0400-00000D000000}"/>
                </a:ext>
              </a:extLst>
            </xdr:cNvPr>
            <xdr:cNvSpPr txBox="1">
              <a:spLocks noChangeAspect="1" noChangeArrowheads="1"/>
            </xdr:cNvSpPr>
          </xdr:nvSpPr>
          <xdr:spPr bwMode="auto">
            <a:xfrm>
              <a:off x="637" y="188"/>
              <a:ext cx="33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CCFFFF" mc:Ignorable="a14" a14:legacySpreadsheetColorIndex="4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18288" bIns="22860" anchor="ctr" upright="1">
              <a:spAutoFit/>
            </a:bodyPr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FF0000"/>
                  </a:solidFill>
                  <a:latin typeface="Times New Roman"/>
                  <a:cs typeface="Times New Roman"/>
                </a:rPr>
                <a:t>NNE</a:t>
              </a:r>
            </a:p>
          </xdr:txBody>
        </xdr:sp>
        <xdr:sp macro="" textlink="">
          <xdr:nvSpPr>
            <xdr:cNvPr id="14" name="Text Box 9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:cNvPr>
            <xdr:cNvSpPr txBox="1">
              <a:spLocks noChangeAspect="1" noChangeArrowheads="1"/>
            </xdr:cNvSpPr>
          </xdr:nvSpPr>
          <xdr:spPr bwMode="auto">
            <a:xfrm>
              <a:off x="721" y="268"/>
              <a:ext cx="33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CCFFFF" mc:Ignorable="a14" a14:legacySpreadsheetColorIndex="4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18288" bIns="22860" anchor="ctr" upright="1">
              <a:spAutoFit/>
            </a:bodyPr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FF0000"/>
                  </a:solidFill>
                  <a:latin typeface="Times New Roman"/>
                  <a:cs typeface="Times New Roman"/>
                </a:rPr>
                <a:t>ENE</a:t>
              </a:r>
            </a:p>
          </xdr:txBody>
        </xdr:sp>
        <xdr:sp macro="" textlink="">
          <xdr:nvSpPr>
            <xdr:cNvPr id="15" name="Text Box 10">
              <a:extLst>
                <a:ext uri="{FF2B5EF4-FFF2-40B4-BE49-F238E27FC236}">
                  <a16:creationId xmlns:a16="http://schemas.microsoft.com/office/drawing/2014/main" id="{00000000-0008-0000-0400-00000F000000}"/>
                </a:ext>
              </a:extLst>
            </xdr:cNvPr>
            <xdr:cNvSpPr txBox="1">
              <a:spLocks noChangeAspect="1" noChangeArrowheads="1"/>
            </xdr:cNvSpPr>
          </xdr:nvSpPr>
          <xdr:spPr bwMode="auto">
            <a:xfrm>
              <a:off x="513" y="188"/>
              <a:ext cx="39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CCFFFF" mc:Ignorable="a14" a14:legacySpreadsheetColorIndex="4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18288" bIns="22860" anchor="ctr" upright="1">
              <a:spAutoFit/>
            </a:bodyPr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FF0000"/>
                  </a:solidFill>
                  <a:latin typeface="Times New Roman"/>
                  <a:cs typeface="Times New Roman"/>
                </a:rPr>
                <a:t>NNW</a:t>
              </a:r>
            </a:p>
          </xdr:txBody>
        </xdr:sp>
        <xdr:sp macro="" textlink="">
          <xdr:nvSpPr>
            <xdr:cNvPr id="16" name="Text Box 11">
              <a:extLst>
                <a:ext uri="{FF2B5EF4-FFF2-40B4-BE49-F238E27FC236}">
                  <a16:creationId xmlns:a16="http://schemas.microsoft.com/office/drawing/2014/main" id="{00000000-0008-0000-0400-000010000000}"/>
                </a:ext>
              </a:extLst>
            </xdr:cNvPr>
            <xdr:cNvSpPr txBox="1">
              <a:spLocks noChangeAspect="1" noChangeArrowheads="1"/>
            </xdr:cNvSpPr>
          </xdr:nvSpPr>
          <xdr:spPr bwMode="auto">
            <a:xfrm>
              <a:off x="430" y="271"/>
              <a:ext cx="42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CCFFFF" mc:Ignorable="a14" a14:legacySpreadsheetColorIndex="4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18288" bIns="22860" anchor="ctr" upright="1">
              <a:spAutoFit/>
            </a:bodyPr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FF0000"/>
                  </a:solidFill>
                  <a:latin typeface="Times New Roman"/>
                  <a:cs typeface="Times New Roman"/>
                </a:rPr>
                <a:t>WNW</a:t>
              </a:r>
            </a:p>
          </xdr:txBody>
        </xdr:sp>
        <xdr:sp macro="" textlink="">
          <xdr:nvSpPr>
            <xdr:cNvPr id="17" name="Text Box 12">
              <a:extLst>
                <a:ext uri="{FF2B5EF4-FFF2-40B4-BE49-F238E27FC236}">
                  <a16:creationId xmlns:a16="http://schemas.microsoft.com/office/drawing/2014/main" id="{00000000-0008-0000-0400-000011000000}"/>
                </a:ext>
              </a:extLst>
            </xdr:cNvPr>
            <xdr:cNvSpPr txBox="1">
              <a:spLocks noChangeAspect="1" noChangeArrowheads="1"/>
            </xdr:cNvSpPr>
          </xdr:nvSpPr>
          <xdr:spPr bwMode="auto">
            <a:xfrm>
              <a:off x="464" y="223"/>
              <a:ext cx="28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CCFFFF" mc:Ignorable="a14" a14:legacySpreadsheetColorIndex="4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18288" bIns="22860" anchor="ctr" upright="1">
              <a:spAutoFit/>
            </a:bodyPr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FF0000"/>
                  </a:solidFill>
                  <a:latin typeface="Times New Roman"/>
                  <a:cs typeface="Times New Roman"/>
                </a:rPr>
                <a:t>NW</a:t>
              </a:r>
            </a:p>
          </xdr:txBody>
        </xdr:sp>
        <xdr:sp macro="" textlink="">
          <xdr:nvSpPr>
            <xdr:cNvPr id="18" name="Text Box 13">
              <a:extLst>
                <a:ext uri="{FF2B5EF4-FFF2-40B4-BE49-F238E27FC236}">
                  <a16:creationId xmlns:a16="http://schemas.microsoft.com/office/drawing/2014/main" id="{00000000-0008-0000-0400-000012000000}"/>
                </a:ext>
              </a:extLst>
            </xdr:cNvPr>
            <xdr:cNvSpPr txBox="1">
              <a:spLocks noChangeAspect="1" noChangeArrowheads="1"/>
            </xdr:cNvSpPr>
          </xdr:nvSpPr>
          <xdr:spPr bwMode="auto">
            <a:xfrm>
              <a:off x="720" y="383"/>
              <a:ext cx="28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CCFFFF" mc:Ignorable="a14" a14:legacySpreadsheetColorIndex="4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18288" bIns="22860" anchor="ctr" upright="1">
              <a:spAutoFit/>
            </a:bodyPr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FF0000"/>
                  </a:solidFill>
                  <a:latin typeface="Times New Roman"/>
                  <a:cs typeface="Times New Roman"/>
                </a:rPr>
                <a:t>ESE</a:t>
              </a:r>
            </a:p>
          </xdr:txBody>
        </xdr:sp>
        <xdr:sp macro="" textlink="">
          <xdr:nvSpPr>
            <xdr:cNvPr id="19" name="Text Box 14">
              <a:extLst>
                <a:ext uri="{FF2B5EF4-FFF2-40B4-BE49-F238E27FC236}">
                  <a16:creationId xmlns:a16="http://schemas.microsoft.com/office/drawing/2014/main" id="{00000000-0008-0000-0400-000013000000}"/>
                </a:ext>
              </a:extLst>
            </xdr:cNvPr>
            <xdr:cNvSpPr txBox="1">
              <a:spLocks noChangeAspect="1" noChangeArrowheads="1"/>
            </xdr:cNvSpPr>
          </xdr:nvSpPr>
          <xdr:spPr bwMode="auto">
            <a:xfrm>
              <a:off x="430" y="382"/>
              <a:ext cx="39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CCFFFF" mc:Ignorable="a14" a14:legacySpreadsheetColorIndex="4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18288" bIns="22860" anchor="ctr" upright="1">
              <a:spAutoFit/>
            </a:bodyPr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FF0000"/>
                  </a:solidFill>
                  <a:latin typeface="Times New Roman"/>
                  <a:cs typeface="Times New Roman"/>
                </a:rPr>
                <a:t>WSW</a:t>
              </a:r>
            </a:p>
          </xdr:txBody>
        </xdr:sp>
        <xdr:sp macro="" textlink="">
          <xdr:nvSpPr>
            <xdr:cNvPr id="20" name="Text Box 15">
              <a:extLst>
                <a:ext uri="{FF2B5EF4-FFF2-40B4-BE49-F238E27FC236}">
                  <a16:creationId xmlns:a16="http://schemas.microsoft.com/office/drawing/2014/main" id="{00000000-0008-0000-0400-000014000000}"/>
                </a:ext>
              </a:extLst>
            </xdr:cNvPr>
            <xdr:cNvSpPr txBox="1">
              <a:spLocks noChangeAspect="1" noChangeArrowheads="1"/>
            </xdr:cNvSpPr>
          </xdr:nvSpPr>
          <xdr:spPr bwMode="auto">
            <a:xfrm>
              <a:off x="464" y="430"/>
              <a:ext cx="25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CCFFFF" mc:Ignorable="a14" a14:legacySpreadsheetColorIndex="4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18288" bIns="22860" anchor="ctr" upright="1">
              <a:spAutoFit/>
            </a:bodyPr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FF0000"/>
                  </a:solidFill>
                  <a:latin typeface="Times New Roman"/>
                  <a:cs typeface="Times New Roman"/>
                </a:rPr>
                <a:t>SW</a:t>
              </a:r>
            </a:p>
          </xdr:txBody>
        </xdr:sp>
        <xdr:sp macro="" textlink="">
          <xdr:nvSpPr>
            <xdr:cNvPr id="21" name="Text Box 16">
              <a:extLst>
                <a:ext uri="{FF2B5EF4-FFF2-40B4-BE49-F238E27FC236}">
                  <a16:creationId xmlns:a16="http://schemas.microsoft.com/office/drawing/2014/main" id="{00000000-0008-0000-0400-000015000000}"/>
                </a:ext>
              </a:extLst>
            </xdr:cNvPr>
            <xdr:cNvSpPr txBox="1">
              <a:spLocks noChangeAspect="1" noChangeArrowheads="1"/>
            </xdr:cNvSpPr>
          </xdr:nvSpPr>
          <xdr:spPr bwMode="auto">
            <a:xfrm>
              <a:off x="692" y="430"/>
              <a:ext cx="20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CCFFFF" mc:Ignorable="a14" a14:legacySpreadsheetColorIndex="4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18288" bIns="22860" anchor="ctr" upright="1">
              <a:spAutoFit/>
            </a:bodyPr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FF0000"/>
                  </a:solidFill>
                  <a:latin typeface="Times New Roman"/>
                  <a:cs typeface="Times New Roman"/>
                </a:rPr>
                <a:t>SE</a:t>
              </a:r>
            </a:p>
          </xdr:txBody>
        </xdr:sp>
        <xdr:sp macro="" textlink="">
          <xdr:nvSpPr>
            <xdr:cNvPr id="22" name="Text Box 17">
              <a:extLst>
                <a:ext uri="{FF2B5EF4-FFF2-40B4-BE49-F238E27FC236}">
                  <a16:creationId xmlns:a16="http://schemas.microsoft.com/office/drawing/2014/main" id="{00000000-0008-0000-0400-000016000000}"/>
                </a:ext>
              </a:extLst>
            </xdr:cNvPr>
            <xdr:cNvSpPr txBox="1">
              <a:spLocks noChangeAspect="1" noChangeArrowheads="1"/>
            </xdr:cNvSpPr>
          </xdr:nvSpPr>
          <xdr:spPr bwMode="auto">
            <a:xfrm>
              <a:off x="513" y="466"/>
              <a:ext cx="32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CCFFFF" mc:Ignorable="a14" a14:legacySpreadsheetColorIndex="4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18288" bIns="22860" anchor="ctr" upright="1">
              <a:spAutoFit/>
            </a:bodyPr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FF0000"/>
                  </a:solidFill>
                  <a:latin typeface="Times New Roman"/>
                  <a:cs typeface="Times New Roman"/>
                </a:rPr>
                <a:t>SSW</a:t>
              </a:r>
            </a:p>
          </xdr:txBody>
        </xdr:sp>
        <xdr:sp macro="" textlink="">
          <xdr:nvSpPr>
            <xdr:cNvPr id="23" name="Text Box 18">
              <a:extLst>
                <a:ext uri="{FF2B5EF4-FFF2-40B4-BE49-F238E27FC236}">
                  <a16:creationId xmlns:a16="http://schemas.microsoft.com/office/drawing/2014/main" id="{00000000-0008-0000-0400-000017000000}"/>
                </a:ext>
              </a:extLst>
            </xdr:cNvPr>
            <xdr:cNvSpPr txBox="1">
              <a:spLocks noChangeAspect="1" noChangeArrowheads="1"/>
            </xdr:cNvSpPr>
          </xdr:nvSpPr>
          <xdr:spPr bwMode="auto">
            <a:xfrm>
              <a:off x="638" y="466"/>
              <a:ext cx="26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CCFFFF" mc:Ignorable="a14" a14:legacySpreadsheetColorIndex="4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18288" bIns="22860" anchor="ctr" upright="1">
              <a:spAutoFit/>
            </a:bodyPr>
            <a:lstStyle/>
            <a:p>
              <a:pPr algn="ctr" rtl="0">
                <a:defRPr sz="1000"/>
              </a:pPr>
              <a:r>
                <a:rPr lang="uk-UA" sz="1000" b="0" i="0" u="none" strike="noStrike" baseline="0">
                  <a:solidFill>
                    <a:srgbClr val="FF0000"/>
                  </a:solidFill>
                  <a:latin typeface="Times New Roman"/>
                  <a:cs typeface="Times New Roman"/>
                </a:rPr>
                <a:t>SSE</a:t>
              </a:r>
            </a:p>
          </xdr:txBody>
        </xdr:sp>
      </xdr:grpSp>
      <xdr:sp macro="" textlink="">
        <xdr:nvSpPr>
          <xdr:cNvPr id="4" name="AutoShape 19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 noChangeAspect="1" noChangeArrowheads="1"/>
          </xdr:cNvSpPr>
        </xdr:nvSpPr>
        <xdr:spPr bwMode="auto">
          <a:xfrm rot="1320000">
            <a:off x="931" y="266"/>
            <a:ext cx="185" cy="185"/>
          </a:xfrm>
          <a:prstGeom prst="star4">
            <a:avLst>
              <a:gd name="adj" fmla="val 4306"/>
            </a:avLst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20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>
            <a:spLocks noChangeAspect="1" noChangeArrowheads="1"/>
          </xdr:cNvSpPr>
        </xdr:nvSpPr>
        <xdr:spPr bwMode="auto">
          <a:xfrm rot="4020000">
            <a:off x="931" y="266"/>
            <a:ext cx="185" cy="185"/>
          </a:xfrm>
          <a:prstGeom prst="star4">
            <a:avLst>
              <a:gd name="adj" fmla="val 4306"/>
            </a:avLst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" name="AutoShape 21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>
            <a:spLocks noChangeAspect="1" noChangeArrowheads="1"/>
          </xdr:cNvSpPr>
        </xdr:nvSpPr>
        <xdr:spPr bwMode="auto">
          <a:xfrm rot="2700000">
            <a:off x="916" y="251"/>
            <a:ext cx="215" cy="215"/>
          </a:xfrm>
          <a:prstGeom prst="star4">
            <a:avLst>
              <a:gd name="adj" fmla="val 4306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AutoShape 22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91" y="226"/>
            <a:ext cx="264" cy="264"/>
          </a:xfrm>
          <a:prstGeom prst="star4">
            <a:avLst>
              <a:gd name="adj" fmla="val 4306"/>
            </a:avLst>
          </a:prstGeom>
          <a:solidFill>
            <a:srgbClr val="0000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6</xdr:row>
      <xdr:rowOff>247650</xdr:rowOff>
    </xdr:from>
    <xdr:to>
      <xdr:col>4</xdr:col>
      <xdr:colOff>742950</xdr:colOff>
      <xdr:row>9</xdr:row>
      <xdr:rowOff>190500</xdr:rowOff>
    </xdr:to>
    <xdr:graphicFrame macro="">
      <xdr:nvGraphicFramePr>
        <xdr:cNvPr id="18496" name="Chart 2">
          <a:extLst>
            <a:ext uri="{FF2B5EF4-FFF2-40B4-BE49-F238E27FC236}">
              <a16:creationId xmlns:a16="http://schemas.microsoft.com/office/drawing/2014/main" id="{00000000-0008-0000-0A00-000040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1438275</xdr:colOff>
      <xdr:row>4</xdr:row>
      <xdr:rowOff>485775</xdr:rowOff>
    </xdr:from>
    <xdr:to>
      <xdr:col>4</xdr:col>
      <xdr:colOff>142875</xdr:colOff>
      <xdr:row>8</xdr:row>
      <xdr:rowOff>276225</xdr:rowOff>
    </xdr:to>
    <xdr:grpSp>
      <xdr:nvGrpSpPr>
        <xdr:cNvPr id="18499" name="Группа 19">
          <a:extLst>
            <a:ext uri="{FF2B5EF4-FFF2-40B4-BE49-F238E27FC236}">
              <a16:creationId xmlns:a16="http://schemas.microsoft.com/office/drawing/2014/main" id="{00000000-0008-0000-0A00-000043480000}"/>
            </a:ext>
          </a:extLst>
        </xdr:cNvPr>
        <xdr:cNvGrpSpPr>
          <a:grpSpLocks/>
        </xdr:cNvGrpSpPr>
      </xdr:nvGrpSpPr>
      <xdr:grpSpPr bwMode="auto">
        <a:xfrm>
          <a:off x="3588204" y="2241096"/>
          <a:ext cx="283028" cy="1845129"/>
          <a:chOff x="10738758" y="3619499"/>
          <a:chExt cx="288482" cy="2264234"/>
        </a:xfrm>
      </xdr:grpSpPr>
      <xdr:sp macro="" textlink="">
        <xdr:nvSpPr>
          <xdr:cNvPr id="18" name="Блок-схема: задержка 17">
            <a:extLst>
              <a:ext uri="{FF2B5EF4-FFF2-40B4-BE49-F238E27FC236}">
                <a16:creationId xmlns:a16="http://schemas.microsoft.com/office/drawing/2014/main" id="{00000000-0008-0000-0A00-000012000000}"/>
              </a:ext>
            </a:extLst>
          </xdr:cNvPr>
          <xdr:cNvSpPr/>
        </xdr:nvSpPr>
        <xdr:spPr>
          <a:xfrm rot="5400000">
            <a:off x="10468668" y="5325161"/>
            <a:ext cx="828663" cy="288482"/>
          </a:xfrm>
          <a:prstGeom prst="flowChartDelay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SG"/>
          </a:p>
        </xdr:txBody>
      </xdr:sp>
      <xdr:sp macro="" textlink="">
        <xdr:nvSpPr>
          <xdr:cNvPr id="19" name="Блок-схема: задержка 18">
            <a:extLst>
              <a:ext uri="{FF2B5EF4-FFF2-40B4-BE49-F238E27FC236}">
                <a16:creationId xmlns:a16="http://schemas.microsoft.com/office/drawing/2014/main" id="{00000000-0008-0000-0A00-000013000000}"/>
              </a:ext>
            </a:extLst>
          </xdr:cNvPr>
          <xdr:cNvSpPr/>
        </xdr:nvSpPr>
        <xdr:spPr>
          <a:xfrm rot="16200000">
            <a:off x="10141871" y="4216386"/>
            <a:ext cx="1482256" cy="288482"/>
          </a:xfrm>
          <a:prstGeom prst="flowChartDelay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SG"/>
          </a:p>
        </xdr:txBody>
      </xdr:sp>
    </xdr:grpSp>
    <xdr:clientData/>
  </xdr:twoCellAnchor>
  <xdr:twoCellAnchor editAs="oneCell">
    <xdr:from>
      <xdr:col>3</xdr:col>
      <xdr:colOff>1152525</xdr:colOff>
      <xdr:row>6</xdr:row>
      <xdr:rowOff>457200</xdr:rowOff>
    </xdr:from>
    <xdr:to>
      <xdr:col>4</xdr:col>
      <xdr:colOff>438150</xdr:colOff>
      <xdr:row>8</xdr:row>
      <xdr:rowOff>504825</xdr:rowOff>
    </xdr:to>
    <xdr:sp macro="" textlink="">
      <xdr:nvSpPr>
        <xdr:cNvPr id="18500" name="Line 11">
          <a:extLst>
            <a:ext uri="{FF2B5EF4-FFF2-40B4-BE49-F238E27FC236}">
              <a16:creationId xmlns:a16="http://schemas.microsoft.com/office/drawing/2014/main" id="{00000000-0008-0000-0A00-000044480000}"/>
            </a:ext>
          </a:extLst>
        </xdr:cNvPr>
        <xdr:cNvSpPr>
          <a:spLocks noChangeShapeType="1"/>
        </xdr:cNvSpPr>
      </xdr:nvSpPr>
      <xdr:spPr bwMode="auto">
        <a:xfrm flipV="1">
          <a:off x="3676650" y="3419475"/>
          <a:ext cx="857250" cy="1038225"/>
        </a:xfrm>
        <a:prstGeom prst="line">
          <a:avLst/>
        </a:prstGeom>
        <a:noFill/>
        <a:ln w="12700">
          <a:solidFill>
            <a:srgbClr val="000000"/>
          </a:solidFill>
          <a:round/>
          <a:headEnd type="stealth" w="lg" len="lg"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1143000</xdr:colOff>
      <xdr:row>3</xdr:row>
      <xdr:rowOff>40822</xdr:rowOff>
    </xdr:from>
    <xdr:to>
      <xdr:col>5</xdr:col>
      <xdr:colOff>1411553</xdr:colOff>
      <xdr:row>8</xdr:row>
      <xdr:rowOff>514350</xdr:rowOff>
    </xdr:to>
    <xdr:sp macro="" textlink="">
      <xdr:nvSpPr>
        <xdr:cNvPr id="18502" name="Freeform 13">
          <a:extLst>
            <a:ext uri="{FF2B5EF4-FFF2-40B4-BE49-F238E27FC236}">
              <a16:creationId xmlns:a16="http://schemas.microsoft.com/office/drawing/2014/main" id="{00000000-0008-0000-0A00-000046480000}"/>
            </a:ext>
          </a:extLst>
        </xdr:cNvPr>
        <xdr:cNvSpPr>
          <a:spLocks/>
        </xdr:cNvSpPr>
      </xdr:nvSpPr>
      <xdr:spPr bwMode="auto">
        <a:xfrm>
          <a:off x="3291417" y="1014489"/>
          <a:ext cx="3397250" cy="3045278"/>
        </a:xfrm>
        <a:custGeom>
          <a:avLst/>
          <a:gdLst>
            <a:gd name="T0" fmla="*/ 0 w 376"/>
            <a:gd name="T1" fmla="*/ 3124199 h 225"/>
            <a:gd name="T2" fmla="*/ 2600326 w 376"/>
            <a:gd name="T3" fmla="*/ 0 h 225"/>
            <a:gd name="T4" fmla="*/ 3467101 w 376"/>
            <a:gd name="T5" fmla="*/ 0 h 225"/>
            <a:gd name="T6" fmla="*/ 0 60000 65536"/>
            <a:gd name="T7" fmla="*/ 0 60000 65536"/>
            <a:gd name="T8" fmla="*/ 0 60000 65536"/>
            <a:gd name="T9" fmla="*/ 0 w 376"/>
            <a:gd name="T10" fmla="*/ 0 h 225"/>
            <a:gd name="T11" fmla="*/ 376 w 376"/>
            <a:gd name="T12" fmla="*/ 225 h 22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76" h="225">
              <a:moveTo>
                <a:pt x="0" y="225"/>
              </a:moveTo>
              <a:lnTo>
                <a:pt x="282" y="0"/>
              </a:lnTo>
              <a:lnTo>
                <a:pt x="376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345282</xdr:colOff>
      <xdr:row>2</xdr:row>
      <xdr:rowOff>226219</xdr:rowOff>
    </xdr:from>
    <xdr:to>
      <xdr:col>5</xdr:col>
      <xdr:colOff>1209676</xdr:colOff>
      <xdr:row>13</xdr:row>
      <xdr:rowOff>188119</xdr:rowOff>
    </xdr:to>
    <xdr:graphicFrame macro="">
      <xdr:nvGraphicFramePr>
        <xdr:cNvPr id="12" name="Chart 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2</xdr:row>
      <xdr:rowOff>119063</xdr:rowOff>
    </xdr:from>
    <xdr:to>
      <xdr:col>6</xdr:col>
      <xdr:colOff>364331</xdr:colOff>
      <xdr:row>13</xdr:row>
      <xdr:rowOff>328613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6</xdr:row>
      <xdr:rowOff>247650</xdr:rowOff>
    </xdr:from>
    <xdr:to>
      <xdr:col>4</xdr:col>
      <xdr:colOff>742950</xdr:colOff>
      <xdr:row>9</xdr:row>
      <xdr:rowOff>190500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1438275</xdr:colOff>
      <xdr:row>4</xdr:row>
      <xdr:rowOff>485775</xdr:rowOff>
    </xdr:from>
    <xdr:to>
      <xdr:col>4</xdr:col>
      <xdr:colOff>142875</xdr:colOff>
      <xdr:row>8</xdr:row>
      <xdr:rowOff>276225</xdr:rowOff>
    </xdr:to>
    <xdr:grpSp>
      <xdr:nvGrpSpPr>
        <xdr:cNvPr id="3" name="Группа 19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>
          <a:grpSpLocks/>
        </xdr:cNvGrpSpPr>
      </xdr:nvGrpSpPr>
      <xdr:grpSpPr bwMode="auto">
        <a:xfrm>
          <a:off x="3588204" y="2241096"/>
          <a:ext cx="283028" cy="1845129"/>
          <a:chOff x="10738758" y="3619499"/>
          <a:chExt cx="288482" cy="2264234"/>
        </a:xfrm>
      </xdr:grpSpPr>
      <xdr:sp macro="" textlink="">
        <xdr:nvSpPr>
          <xdr:cNvPr id="4" name="Блок-схема: задержка 17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 rot="5400000">
            <a:off x="10468668" y="5325161"/>
            <a:ext cx="828663" cy="288482"/>
          </a:xfrm>
          <a:prstGeom prst="flowChartDelay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SG"/>
          </a:p>
        </xdr:txBody>
      </xdr:sp>
      <xdr:sp macro="" textlink="">
        <xdr:nvSpPr>
          <xdr:cNvPr id="5" name="Блок-схема: задержка 18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 rot="16200000">
            <a:off x="10141871" y="4216386"/>
            <a:ext cx="1482256" cy="288482"/>
          </a:xfrm>
          <a:prstGeom prst="flowChartDelay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SG"/>
          </a:p>
        </xdr:txBody>
      </xdr:sp>
    </xdr:grpSp>
    <xdr:clientData/>
  </xdr:twoCellAnchor>
  <xdr:twoCellAnchor editAs="oneCell">
    <xdr:from>
      <xdr:col>3</xdr:col>
      <xdr:colOff>1152525</xdr:colOff>
      <xdr:row>6</xdr:row>
      <xdr:rowOff>457200</xdr:rowOff>
    </xdr:from>
    <xdr:to>
      <xdr:col>4</xdr:col>
      <xdr:colOff>438150</xdr:colOff>
      <xdr:row>8</xdr:row>
      <xdr:rowOff>504825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ShapeType="1"/>
        </xdr:cNvSpPr>
      </xdr:nvSpPr>
      <xdr:spPr bwMode="auto">
        <a:xfrm flipV="1">
          <a:off x="3295650" y="3286125"/>
          <a:ext cx="857250" cy="1038225"/>
        </a:xfrm>
        <a:prstGeom prst="line">
          <a:avLst/>
        </a:prstGeom>
        <a:noFill/>
        <a:ln w="12700">
          <a:solidFill>
            <a:srgbClr val="000000"/>
          </a:solidFill>
          <a:round/>
          <a:headEnd type="stealth" w="lg" len="lg"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1143000</xdr:colOff>
      <xdr:row>3</xdr:row>
      <xdr:rowOff>40822</xdr:rowOff>
    </xdr:from>
    <xdr:to>
      <xdr:col>5</xdr:col>
      <xdr:colOff>1411553</xdr:colOff>
      <xdr:row>8</xdr:row>
      <xdr:rowOff>514350</xdr:rowOff>
    </xdr:to>
    <xdr:sp macro="" textlink="">
      <xdr:nvSpPr>
        <xdr:cNvPr id="7" name="Freeform 13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/>
        </xdr:cNvSpPr>
      </xdr:nvSpPr>
      <xdr:spPr bwMode="auto">
        <a:xfrm>
          <a:off x="3286125" y="1269547"/>
          <a:ext cx="3402278" cy="3064328"/>
        </a:xfrm>
        <a:custGeom>
          <a:avLst/>
          <a:gdLst>
            <a:gd name="T0" fmla="*/ 0 w 376"/>
            <a:gd name="T1" fmla="*/ 3124199 h 225"/>
            <a:gd name="T2" fmla="*/ 2600326 w 376"/>
            <a:gd name="T3" fmla="*/ 0 h 225"/>
            <a:gd name="T4" fmla="*/ 3467101 w 376"/>
            <a:gd name="T5" fmla="*/ 0 h 225"/>
            <a:gd name="T6" fmla="*/ 0 60000 65536"/>
            <a:gd name="T7" fmla="*/ 0 60000 65536"/>
            <a:gd name="T8" fmla="*/ 0 60000 65536"/>
            <a:gd name="T9" fmla="*/ 0 w 376"/>
            <a:gd name="T10" fmla="*/ 0 h 225"/>
            <a:gd name="T11" fmla="*/ 376 w 376"/>
            <a:gd name="T12" fmla="*/ 225 h 22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76" h="225">
              <a:moveTo>
                <a:pt x="0" y="225"/>
              </a:moveTo>
              <a:lnTo>
                <a:pt x="282" y="0"/>
              </a:lnTo>
              <a:lnTo>
                <a:pt x="376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345282</xdr:colOff>
      <xdr:row>2</xdr:row>
      <xdr:rowOff>226219</xdr:rowOff>
    </xdr:from>
    <xdr:to>
      <xdr:col>5</xdr:col>
      <xdr:colOff>1209676</xdr:colOff>
      <xdr:row>13</xdr:row>
      <xdr:rowOff>188119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2</xdr:row>
      <xdr:rowOff>119063</xdr:rowOff>
    </xdr:from>
    <xdr:to>
      <xdr:col>6</xdr:col>
      <xdr:colOff>364331</xdr:colOff>
      <xdr:row>13</xdr:row>
      <xdr:rowOff>328613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bgames@mail.ru" TargetMode="External"/><Relationship Id="rId2" Type="http://schemas.openxmlformats.org/officeDocument/2006/relationships/hyperlink" Target="http://sbgames.su/" TargetMode="External"/><Relationship Id="rId1" Type="http://schemas.openxmlformats.org/officeDocument/2006/relationships/hyperlink" Target="http://sbgames.su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bgames.su/Stensil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/>
  </sheetPr>
  <dimension ref="A1:S44"/>
  <sheetViews>
    <sheetView showGridLines="0" showRowColHeaders="0" zoomScaleNormal="100" workbookViewId="0">
      <selection activeCell="M9" sqref="M9"/>
    </sheetView>
  </sheetViews>
  <sheetFormatPr defaultRowHeight="12.75"/>
  <cols>
    <col min="1" max="1" width="7.140625" customWidth="1"/>
    <col min="2" max="2" width="2.42578125" customWidth="1"/>
    <col min="3" max="3" width="0.85546875" customWidth="1"/>
    <col min="4" max="5" width="5.140625" customWidth="1"/>
    <col min="6" max="6" width="5.5703125" customWidth="1"/>
    <col min="7" max="9" width="5.85546875" customWidth="1"/>
    <col min="10" max="10" width="14.42578125" customWidth="1"/>
    <col min="11" max="11" width="3.42578125" customWidth="1"/>
    <col min="12" max="13" width="5.140625" customWidth="1"/>
    <col min="14" max="14" width="11.42578125" customWidth="1"/>
    <col min="15" max="15" width="10.85546875" customWidth="1"/>
    <col min="16" max="16" width="13.28515625" customWidth="1"/>
    <col min="17" max="17" width="2.42578125" customWidth="1"/>
    <col min="18" max="18" width="7.140625" customWidth="1"/>
  </cols>
  <sheetData>
    <row r="1" spans="1:19" ht="15" customHeight="1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</row>
    <row r="2" spans="1:19" ht="11.25" customHeight="1">
      <c r="A2" s="316"/>
      <c r="B2" s="308"/>
      <c r="C2" s="475" t="s">
        <v>212</v>
      </c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308"/>
      <c r="R2" s="316"/>
    </row>
    <row r="3" spans="1:19" ht="15" customHeight="1">
      <c r="A3" s="316"/>
      <c r="B3" s="308"/>
      <c r="C3" s="465" t="s">
        <v>428</v>
      </c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308"/>
      <c r="R3" s="316"/>
    </row>
    <row r="4" spans="1:19" ht="11.25" customHeight="1" thickBot="1">
      <c r="A4" s="316"/>
      <c r="B4" s="303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303"/>
      <c r="R4" s="316"/>
    </row>
    <row r="5" spans="1:19" ht="18" customHeight="1" thickTop="1">
      <c r="A5" s="316"/>
      <c r="B5" s="308"/>
      <c r="C5" s="301"/>
      <c r="D5" s="484" t="s">
        <v>378</v>
      </c>
      <c r="E5" s="484"/>
      <c r="F5" s="484"/>
      <c r="G5" s="467" t="s">
        <v>209</v>
      </c>
      <c r="H5" s="467"/>
      <c r="I5" s="467"/>
      <c r="J5" s="468"/>
      <c r="L5" s="476" t="s">
        <v>225</v>
      </c>
      <c r="M5" s="477"/>
      <c r="N5" s="477"/>
      <c r="O5" s="477"/>
      <c r="P5" s="478"/>
      <c r="Q5" s="310"/>
      <c r="R5" s="316"/>
    </row>
    <row r="6" spans="1:19" ht="18" customHeight="1" thickBot="1">
      <c r="A6" s="316"/>
      <c r="B6" s="308"/>
      <c r="C6" s="302"/>
      <c r="D6" s="466" t="s">
        <v>211</v>
      </c>
      <c r="E6" s="466"/>
      <c r="F6" s="466"/>
      <c r="G6" s="482" t="s">
        <v>210</v>
      </c>
      <c r="H6" s="482"/>
      <c r="I6" s="482"/>
      <c r="J6" s="483"/>
      <c r="L6" s="479"/>
      <c r="M6" s="480"/>
      <c r="N6" s="480"/>
      <c r="O6" s="480"/>
      <c r="P6" s="481"/>
      <c r="Q6" s="311"/>
      <c r="R6" s="316"/>
    </row>
    <row r="7" spans="1:19" ht="15.75" customHeight="1" thickTop="1">
      <c r="A7" s="316"/>
      <c r="L7" s="318"/>
      <c r="M7" s="102">
        <v>0.98399999999999999</v>
      </c>
      <c r="N7" s="471" t="s">
        <v>223</v>
      </c>
      <c r="O7" s="472"/>
      <c r="P7" s="473"/>
      <c r="R7" s="316"/>
    </row>
    <row r="8" spans="1:19" ht="15.75" customHeight="1">
      <c r="A8" s="316"/>
      <c r="B8" s="309"/>
      <c r="C8" s="474" t="s">
        <v>213</v>
      </c>
      <c r="D8" s="474"/>
      <c r="E8" s="474"/>
      <c r="F8" s="474"/>
      <c r="G8" s="474"/>
      <c r="H8" s="474"/>
      <c r="I8" s="474"/>
      <c r="J8" s="474"/>
      <c r="K8" s="304"/>
      <c r="L8" s="319"/>
      <c r="M8" s="321"/>
      <c r="N8" s="321"/>
      <c r="O8" s="321"/>
      <c r="P8" s="322"/>
      <c r="Q8" s="307"/>
      <c r="R8" s="317"/>
    </row>
    <row r="9" spans="1:19" ht="15.75" customHeight="1">
      <c r="A9" s="316"/>
      <c r="B9" s="304"/>
      <c r="C9" s="304"/>
      <c r="D9" s="304"/>
      <c r="E9" s="463" t="s">
        <v>214</v>
      </c>
      <c r="F9" s="463"/>
      <c r="G9" s="463"/>
      <c r="H9" s="463"/>
      <c r="I9" s="463"/>
      <c r="J9" s="463"/>
      <c r="K9" s="304"/>
      <c r="L9" s="318"/>
      <c r="M9" s="315">
        <v>13</v>
      </c>
      <c r="N9" s="471" t="s">
        <v>224</v>
      </c>
      <c r="O9" s="472"/>
      <c r="P9" s="473"/>
      <c r="Q9" s="304"/>
      <c r="R9" s="316"/>
    </row>
    <row r="10" spans="1:19" ht="15.75" customHeight="1" thickBot="1">
      <c r="A10" s="316"/>
      <c r="B10" s="305"/>
      <c r="C10" s="305"/>
      <c r="D10" s="305"/>
      <c r="E10" s="312"/>
      <c r="F10" s="462" t="s">
        <v>24</v>
      </c>
      <c r="G10" s="462"/>
      <c r="H10" s="462"/>
      <c r="I10" s="462"/>
      <c r="J10" s="462"/>
      <c r="K10" s="306"/>
      <c r="L10" s="320"/>
      <c r="M10" s="323"/>
      <c r="N10" s="323"/>
      <c r="O10" s="323"/>
      <c r="P10" s="324"/>
      <c r="Q10" s="307"/>
      <c r="R10" s="316"/>
    </row>
    <row r="11" spans="1:19" ht="15.75" customHeight="1" thickTop="1">
      <c r="A11" s="316"/>
      <c r="B11" s="305"/>
      <c r="C11" s="305"/>
      <c r="D11" s="305"/>
      <c r="E11" s="312"/>
      <c r="F11" s="462" t="s">
        <v>109</v>
      </c>
      <c r="G11" s="462"/>
      <c r="H11" s="462"/>
      <c r="I11" s="462"/>
      <c r="J11" s="462"/>
      <c r="K11" s="306"/>
      <c r="Q11" s="305"/>
      <c r="R11" s="316"/>
    </row>
    <row r="12" spans="1:19" ht="15.75" customHeight="1">
      <c r="A12" s="316"/>
      <c r="B12" s="305"/>
      <c r="C12" s="305"/>
      <c r="D12" s="305"/>
      <c r="E12" s="312"/>
      <c r="F12" s="462" t="s">
        <v>100</v>
      </c>
      <c r="G12" s="462"/>
      <c r="H12" s="462"/>
      <c r="I12" s="462"/>
      <c r="J12" s="462"/>
      <c r="K12" s="305"/>
      <c r="L12" s="474" t="s">
        <v>226</v>
      </c>
      <c r="M12" s="474"/>
      <c r="N12" s="474"/>
      <c r="O12" s="474"/>
      <c r="P12" s="474"/>
      <c r="Q12" s="305"/>
      <c r="R12" s="316"/>
    </row>
    <row r="13" spans="1:19" ht="15.75" customHeight="1">
      <c r="A13" s="316"/>
      <c r="B13" s="305"/>
      <c r="C13" s="305"/>
      <c r="D13" s="305"/>
      <c r="E13" s="312"/>
      <c r="F13" s="462" t="s">
        <v>425</v>
      </c>
      <c r="G13" s="462"/>
      <c r="H13" s="462"/>
      <c r="I13" s="462"/>
      <c r="J13" s="462"/>
      <c r="K13" s="305"/>
      <c r="M13" s="461" t="s">
        <v>227</v>
      </c>
      <c r="N13" s="461"/>
      <c r="O13" s="461"/>
      <c r="P13" s="461"/>
      <c r="Q13" s="313"/>
      <c r="R13" s="316"/>
      <c r="S13" s="313"/>
    </row>
    <row r="14" spans="1:19" ht="15.75" customHeight="1">
      <c r="A14" s="316"/>
      <c r="B14" s="305"/>
      <c r="C14" s="305"/>
      <c r="D14" s="305"/>
      <c r="E14" s="312"/>
      <c r="F14" s="462" t="s">
        <v>102</v>
      </c>
      <c r="G14" s="462"/>
      <c r="H14" s="462"/>
      <c r="I14" s="462"/>
      <c r="J14" s="462"/>
      <c r="K14" s="305"/>
      <c r="L14" s="305"/>
      <c r="N14" s="469" t="s">
        <v>426</v>
      </c>
      <c r="O14" s="469"/>
      <c r="P14" s="469"/>
      <c r="Q14" s="305"/>
      <c r="R14" s="316"/>
    </row>
    <row r="15" spans="1:19" ht="15.75" customHeight="1">
      <c r="A15" s="316"/>
      <c r="B15" s="305"/>
      <c r="C15" s="305"/>
      <c r="D15" s="305"/>
      <c r="E15" s="312"/>
      <c r="F15" s="462" t="s">
        <v>104</v>
      </c>
      <c r="G15" s="462"/>
      <c r="H15" s="462"/>
      <c r="I15" s="462"/>
      <c r="J15" s="462"/>
      <c r="K15" s="305"/>
      <c r="L15" s="305"/>
      <c r="M15" s="461" t="s">
        <v>228</v>
      </c>
      <c r="N15" s="461"/>
      <c r="O15" s="461"/>
      <c r="P15" s="461"/>
      <c r="Q15" s="305"/>
      <c r="R15" s="316"/>
    </row>
    <row r="16" spans="1:19" ht="15.75" customHeight="1">
      <c r="A16" s="316"/>
      <c r="B16" s="305"/>
      <c r="C16" s="305"/>
      <c r="D16" s="305"/>
      <c r="E16" s="312"/>
      <c r="F16" s="462" t="s">
        <v>25</v>
      </c>
      <c r="G16" s="462"/>
      <c r="H16" s="462"/>
      <c r="I16" s="462"/>
      <c r="J16" s="462"/>
      <c r="K16" s="305"/>
      <c r="L16" s="305"/>
      <c r="N16" s="464" t="s">
        <v>229</v>
      </c>
      <c r="O16" s="464"/>
      <c r="P16" s="464"/>
      <c r="Q16" s="305"/>
      <c r="R16" s="316"/>
    </row>
    <row r="17" spans="1:18" ht="15.75" customHeight="1">
      <c r="A17" s="316"/>
      <c r="B17" s="305"/>
      <c r="C17" s="305"/>
      <c r="D17" s="305"/>
      <c r="E17" s="312"/>
      <c r="F17" s="462" t="s">
        <v>26</v>
      </c>
      <c r="G17" s="462"/>
      <c r="H17" s="462"/>
      <c r="I17" s="462"/>
      <c r="J17" s="462"/>
      <c r="K17" s="305"/>
      <c r="L17" s="305"/>
      <c r="M17" s="314"/>
      <c r="N17" s="464"/>
      <c r="O17" s="464"/>
      <c r="P17" s="464"/>
      <c r="Q17" s="305"/>
      <c r="R17" s="316"/>
    </row>
    <row r="18" spans="1:18" ht="15.75" customHeight="1">
      <c r="A18" s="316"/>
      <c r="B18" s="305"/>
      <c r="C18" s="305"/>
      <c r="D18" s="305"/>
      <c r="E18" s="312"/>
      <c r="F18" s="462" t="s">
        <v>116</v>
      </c>
      <c r="G18" s="462"/>
      <c r="H18" s="462"/>
      <c r="I18" s="462"/>
      <c r="J18" s="462"/>
      <c r="K18" s="305"/>
      <c r="L18" s="305"/>
      <c r="M18" s="314"/>
      <c r="Q18" s="305"/>
      <c r="R18" s="316"/>
    </row>
    <row r="19" spans="1:18" ht="15.75" customHeight="1">
      <c r="A19" s="316"/>
      <c r="B19" s="305"/>
      <c r="C19" s="305"/>
      <c r="D19" s="305"/>
      <c r="E19" s="312"/>
      <c r="F19" s="462" t="s">
        <v>407</v>
      </c>
      <c r="G19" s="462"/>
      <c r="H19" s="462"/>
      <c r="I19" s="462"/>
      <c r="J19" s="462"/>
      <c r="K19" s="305"/>
      <c r="L19" s="305"/>
      <c r="M19" s="314"/>
      <c r="Q19" s="305"/>
      <c r="R19" s="316"/>
    </row>
    <row r="20" spans="1:18" ht="15.75" customHeight="1">
      <c r="A20" s="316"/>
      <c r="B20" s="305"/>
      <c r="C20" s="305"/>
      <c r="D20" s="305"/>
      <c r="E20" s="312"/>
      <c r="F20" s="462" t="s">
        <v>414</v>
      </c>
      <c r="G20" s="462"/>
      <c r="H20" s="462"/>
      <c r="I20" s="462"/>
      <c r="J20" s="462"/>
      <c r="K20" s="305"/>
      <c r="L20" s="305"/>
      <c r="M20" s="314"/>
      <c r="Q20" s="305"/>
      <c r="R20" s="316"/>
    </row>
    <row r="21" spans="1:18" ht="15.75" customHeight="1">
      <c r="A21" s="316"/>
      <c r="B21" s="305"/>
      <c r="C21" s="305"/>
      <c r="D21" s="305"/>
      <c r="E21" s="463" t="s">
        <v>381</v>
      </c>
      <c r="F21" s="463"/>
      <c r="G21" s="463"/>
      <c r="H21" s="463"/>
      <c r="I21" s="463"/>
      <c r="J21" s="463"/>
      <c r="K21" s="305"/>
      <c r="L21" s="305"/>
      <c r="M21" s="470"/>
      <c r="N21" s="470"/>
      <c r="O21" s="470"/>
      <c r="P21" s="470"/>
      <c r="Q21" s="305"/>
      <c r="R21" s="316"/>
    </row>
    <row r="22" spans="1:18" ht="15.75" customHeight="1">
      <c r="A22" s="316"/>
      <c r="B22" s="305"/>
      <c r="C22" s="305"/>
      <c r="D22" s="305"/>
      <c r="E22" s="451"/>
      <c r="F22" s="462" t="s">
        <v>241</v>
      </c>
      <c r="G22" s="462"/>
      <c r="H22" s="462"/>
      <c r="I22" s="462"/>
      <c r="J22" s="462"/>
      <c r="K22" s="305"/>
      <c r="L22" s="305"/>
      <c r="M22" s="452"/>
      <c r="N22" s="452"/>
      <c r="O22" s="452"/>
      <c r="P22" s="452"/>
      <c r="Q22" s="305"/>
      <c r="R22" s="316"/>
    </row>
    <row r="23" spans="1:18" ht="15.75" customHeight="1">
      <c r="A23" s="316"/>
      <c r="B23" s="305"/>
      <c r="C23" s="305"/>
      <c r="D23" s="305"/>
      <c r="E23" s="463" t="s">
        <v>230</v>
      </c>
      <c r="F23" s="463"/>
      <c r="G23" s="463"/>
      <c r="H23" s="463"/>
      <c r="I23" s="463"/>
      <c r="J23" s="463"/>
      <c r="K23" s="305"/>
      <c r="L23" s="305"/>
      <c r="M23" s="470"/>
      <c r="N23" s="470"/>
      <c r="O23" s="470"/>
      <c r="P23" s="470"/>
      <c r="Q23" s="305"/>
      <c r="R23" s="316"/>
    </row>
    <row r="24" spans="1:18" ht="15.75" customHeight="1">
      <c r="A24" s="316"/>
      <c r="B24" s="305"/>
      <c r="C24" s="305"/>
      <c r="D24" s="305"/>
      <c r="E24" s="312"/>
      <c r="F24" s="462" t="s">
        <v>87</v>
      </c>
      <c r="G24" s="462"/>
      <c r="H24" s="462"/>
      <c r="I24" s="462"/>
      <c r="J24" s="462"/>
      <c r="K24" s="305"/>
      <c r="L24" s="305"/>
      <c r="M24" s="470"/>
      <c r="N24" s="470"/>
      <c r="O24" s="470"/>
      <c r="P24" s="470"/>
      <c r="Q24" s="305"/>
      <c r="R24" s="316"/>
    </row>
    <row r="25" spans="1:18" ht="15.75" customHeight="1">
      <c r="A25" s="316"/>
      <c r="B25" s="305"/>
      <c r="C25" s="305"/>
      <c r="D25" s="305"/>
      <c r="E25" s="312"/>
      <c r="F25" s="462" t="s">
        <v>88</v>
      </c>
      <c r="G25" s="462"/>
      <c r="H25" s="462"/>
      <c r="I25" s="462"/>
      <c r="J25" s="462"/>
      <c r="K25" s="305"/>
      <c r="L25" s="305"/>
      <c r="M25" s="408"/>
      <c r="N25" s="408"/>
      <c r="O25" s="408"/>
      <c r="P25" s="408"/>
      <c r="Q25" s="305"/>
      <c r="R25" s="316"/>
    </row>
    <row r="26" spans="1:18" ht="15.75" customHeight="1">
      <c r="A26" s="316"/>
      <c r="B26" s="305"/>
      <c r="C26" s="305"/>
      <c r="D26" s="305"/>
      <c r="E26" s="463" t="s">
        <v>194</v>
      </c>
      <c r="F26" s="463"/>
      <c r="G26" s="463"/>
      <c r="H26" s="463"/>
      <c r="I26" s="463"/>
      <c r="J26" s="463"/>
      <c r="K26" s="305"/>
      <c r="L26" s="305"/>
      <c r="M26" s="408"/>
      <c r="N26" s="408"/>
      <c r="O26" s="408"/>
      <c r="P26" s="408"/>
      <c r="Q26" s="305"/>
      <c r="R26" s="316"/>
    </row>
    <row r="27" spans="1:18" ht="15.75" customHeight="1">
      <c r="A27" s="316"/>
      <c r="B27" s="305"/>
      <c r="C27" s="305"/>
      <c r="D27" s="305"/>
      <c r="E27" s="312"/>
      <c r="F27" s="462" t="s">
        <v>400</v>
      </c>
      <c r="G27" s="462"/>
      <c r="H27" s="462"/>
      <c r="I27" s="462"/>
      <c r="J27" s="462"/>
      <c r="K27" s="305"/>
      <c r="L27" s="305"/>
      <c r="M27" s="463"/>
      <c r="N27" s="463"/>
      <c r="O27" s="463"/>
      <c r="P27" s="463"/>
      <c r="Q27" s="305"/>
      <c r="R27" s="316"/>
    </row>
    <row r="28" spans="1:18" ht="15.75" customHeight="1">
      <c r="A28" s="316"/>
      <c r="B28" s="305"/>
      <c r="C28" s="305"/>
      <c r="D28" s="305"/>
      <c r="E28" s="463" t="s">
        <v>215</v>
      </c>
      <c r="F28" s="463"/>
      <c r="G28" s="463"/>
      <c r="H28" s="463"/>
      <c r="I28" s="463"/>
      <c r="J28" s="463"/>
      <c r="K28" s="305"/>
      <c r="L28" s="305"/>
      <c r="M28" s="463"/>
      <c r="N28" s="463"/>
      <c r="O28" s="463"/>
      <c r="P28" s="463"/>
      <c r="Q28" s="305"/>
      <c r="R28" s="316"/>
    </row>
    <row r="29" spans="1:18" ht="15.75" customHeight="1">
      <c r="A29" s="316"/>
      <c r="B29" s="305"/>
      <c r="C29" s="305"/>
      <c r="D29" s="305"/>
      <c r="E29" s="312"/>
      <c r="F29" s="462" t="s">
        <v>216</v>
      </c>
      <c r="G29" s="462"/>
      <c r="H29" s="462"/>
      <c r="I29" s="462"/>
      <c r="J29" s="462"/>
      <c r="K29" s="305"/>
      <c r="Q29" s="305"/>
      <c r="R29" s="316"/>
    </row>
    <row r="30" spans="1:18" ht="15.75" customHeight="1">
      <c r="A30" s="316"/>
      <c r="B30" s="305"/>
      <c r="C30" s="305"/>
      <c r="D30" s="305"/>
      <c r="E30" s="463" t="s">
        <v>217</v>
      </c>
      <c r="F30" s="463"/>
      <c r="G30" s="463"/>
      <c r="H30" s="463"/>
      <c r="I30" s="463"/>
      <c r="J30" s="463"/>
      <c r="K30" s="305"/>
      <c r="Q30" s="305"/>
      <c r="R30" s="316"/>
    </row>
    <row r="31" spans="1:18" ht="15.75" customHeight="1">
      <c r="A31" s="316"/>
      <c r="B31" s="305"/>
      <c r="C31" s="305"/>
      <c r="D31" s="305"/>
      <c r="E31" s="312"/>
      <c r="F31" s="464" t="s">
        <v>379</v>
      </c>
      <c r="G31" s="464"/>
      <c r="H31" s="464"/>
      <c r="I31" s="464"/>
      <c r="J31" s="464"/>
      <c r="K31" s="305"/>
      <c r="Q31" s="305"/>
      <c r="R31" s="316"/>
    </row>
    <row r="32" spans="1:18" ht="15.75" customHeight="1">
      <c r="A32" s="316"/>
      <c r="B32" s="305"/>
      <c r="C32" s="305"/>
      <c r="D32" s="305"/>
      <c r="E32" s="312"/>
      <c r="F32" s="464"/>
      <c r="G32" s="464"/>
      <c r="H32" s="464"/>
      <c r="I32" s="464"/>
      <c r="J32" s="464"/>
      <c r="K32" s="305"/>
      <c r="L32" s="305"/>
      <c r="M32" s="305"/>
      <c r="N32" s="305"/>
      <c r="O32" s="305"/>
      <c r="P32" s="305"/>
      <c r="Q32" s="305"/>
      <c r="R32" s="316"/>
    </row>
    <row r="33" spans="1:18" ht="15.75" customHeight="1">
      <c r="A33" s="316"/>
      <c r="B33" s="305"/>
      <c r="C33" s="305"/>
      <c r="D33" s="305"/>
      <c r="E33" s="463" t="s">
        <v>218</v>
      </c>
      <c r="F33" s="463"/>
      <c r="G33" s="463"/>
      <c r="H33" s="463"/>
      <c r="I33" s="463"/>
      <c r="J33" s="463"/>
      <c r="K33" s="305"/>
      <c r="L33" s="305"/>
      <c r="M33" s="305"/>
      <c r="N33" s="305"/>
      <c r="O33" s="305"/>
      <c r="P33" s="305"/>
      <c r="Q33" s="305"/>
      <c r="R33" s="316"/>
    </row>
    <row r="34" spans="1:18" ht="15.75" customHeight="1">
      <c r="A34" s="316"/>
      <c r="B34" s="305"/>
      <c r="C34" s="305"/>
      <c r="D34" s="305"/>
      <c r="E34" s="312"/>
      <c r="F34" s="462" t="s">
        <v>143</v>
      </c>
      <c r="G34" s="462"/>
      <c r="H34" s="462"/>
      <c r="I34" s="462"/>
      <c r="J34" s="462"/>
      <c r="K34" s="305"/>
      <c r="L34" s="305"/>
      <c r="M34" s="305"/>
      <c r="N34" s="305"/>
      <c r="O34" s="305"/>
      <c r="P34" s="305"/>
      <c r="Q34" s="305"/>
      <c r="R34" s="316"/>
    </row>
    <row r="35" spans="1:18" ht="15.75" customHeight="1">
      <c r="A35" s="316"/>
      <c r="B35" s="305"/>
      <c r="C35" s="305"/>
      <c r="D35" s="305"/>
      <c r="E35" s="312"/>
      <c r="F35" s="462" t="s">
        <v>145</v>
      </c>
      <c r="G35" s="462"/>
      <c r="H35" s="462"/>
      <c r="I35" s="462"/>
      <c r="J35" s="462"/>
      <c r="K35" s="305"/>
      <c r="L35" s="305"/>
      <c r="M35" s="305"/>
      <c r="N35" s="305"/>
      <c r="O35" s="305"/>
      <c r="P35" s="305"/>
      <c r="Q35" s="305"/>
      <c r="R35" s="316"/>
    </row>
    <row r="36" spans="1:18" ht="15.75" customHeight="1">
      <c r="A36" s="316"/>
      <c r="B36" s="305"/>
      <c r="C36" s="305"/>
      <c r="D36" s="305"/>
      <c r="E36" s="463" t="s">
        <v>219</v>
      </c>
      <c r="F36" s="463"/>
      <c r="G36" s="463"/>
      <c r="H36" s="463"/>
      <c r="I36" s="463"/>
      <c r="J36" s="463"/>
      <c r="K36" s="305"/>
      <c r="L36" s="305"/>
      <c r="M36" s="305"/>
      <c r="N36" s="305"/>
      <c r="O36" s="305"/>
      <c r="P36" s="305"/>
      <c r="Q36" s="305"/>
      <c r="R36" s="316"/>
    </row>
    <row r="37" spans="1:18" ht="15.75" customHeight="1">
      <c r="A37" s="316"/>
      <c r="B37" s="305"/>
      <c r="C37" s="305"/>
      <c r="D37" s="305"/>
      <c r="E37" s="312"/>
      <c r="F37" s="462" t="s">
        <v>220</v>
      </c>
      <c r="G37" s="462"/>
      <c r="H37" s="462"/>
      <c r="I37" s="462"/>
      <c r="J37" s="462"/>
      <c r="K37" s="305"/>
      <c r="L37" s="305"/>
      <c r="M37" s="305"/>
      <c r="N37" s="305"/>
      <c r="O37" s="305"/>
      <c r="P37" s="305"/>
      <c r="Q37" s="305"/>
      <c r="R37" s="316"/>
    </row>
    <row r="38" spans="1:18" ht="15.75" customHeight="1">
      <c r="A38" s="316"/>
      <c r="B38" s="305"/>
      <c r="C38" s="305"/>
      <c r="D38" s="305"/>
      <c r="E38" s="463" t="s">
        <v>221</v>
      </c>
      <c r="F38" s="463"/>
      <c r="G38" s="463"/>
      <c r="H38" s="463"/>
      <c r="I38" s="463"/>
      <c r="J38" s="463"/>
      <c r="K38" s="305"/>
      <c r="L38" s="305"/>
      <c r="M38" s="305"/>
      <c r="N38" s="305"/>
      <c r="O38" s="305"/>
      <c r="P38" s="305"/>
      <c r="Q38" s="305"/>
      <c r="R38" s="316"/>
    </row>
    <row r="39" spans="1:18" ht="15.75" customHeight="1">
      <c r="A39" s="316"/>
      <c r="B39" s="305"/>
      <c r="C39" s="305"/>
      <c r="D39" s="305"/>
      <c r="E39" s="312"/>
      <c r="F39" s="462" t="s">
        <v>222</v>
      </c>
      <c r="G39" s="462"/>
      <c r="H39" s="462"/>
      <c r="I39" s="462"/>
      <c r="J39" s="462"/>
      <c r="K39" s="305"/>
      <c r="L39" s="305"/>
      <c r="M39" s="305"/>
      <c r="N39" s="305"/>
      <c r="O39" s="305"/>
      <c r="P39" s="305"/>
      <c r="Q39" s="305"/>
      <c r="R39" s="316"/>
    </row>
    <row r="40" spans="1:18" ht="15" customHeight="1">
      <c r="A40" s="316"/>
      <c r="B40" s="305"/>
      <c r="C40" s="305"/>
      <c r="D40" s="305"/>
      <c r="E40" s="305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16"/>
    </row>
    <row r="41" spans="1:18" ht="15" customHeight="1">
      <c r="A41" s="316"/>
      <c r="B41" s="316"/>
      <c r="C41" s="316"/>
      <c r="D41" s="316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316"/>
      <c r="R41" s="316"/>
    </row>
    <row r="42" spans="1:18" ht="15" customHeight="1"/>
    <row r="43" spans="1:18" ht="15" customHeight="1"/>
    <row r="44" spans="1:18" ht="15" customHeight="1"/>
  </sheetData>
  <sheetProtection sheet="1" objects="1" scenarios="1"/>
  <mergeCells count="50">
    <mergeCell ref="C2:P2"/>
    <mergeCell ref="M15:P15"/>
    <mergeCell ref="N16:P17"/>
    <mergeCell ref="M27:P27"/>
    <mergeCell ref="F24:J24"/>
    <mergeCell ref="F25:J25"/>
    <mergeCell ref="C8:J8"/>
    <mergeCell ref="E9:J9"/>
    <mergeCell ref="F10:J10"/>
    <mergeCell ref="F11:J11"/>
    <mergeCell ref="L5:P6"/>
    <mergeCell ref="G6:J6"/>
    <mergeCell ref="D5:F5"/>
    <mergeCell ref="E26:J26"/>
    <mergeCell ref="F27:J27"/>
    <mergeCell ref="F15:J15"/>
    <mergeCell ref="C3:P4"/>
    <mergeCell ref="E23:J23"/>
    <mergeCell ref="F29:J29"/>
    <mergeCell ref="D6:F6"/>
    <mergeCell ref="G5:J5"/>
    <mergeCell ref="M28:P28"/>
    <mergeCell ref="N14:P14"/>
    <mergeCell ref="M21:P21"/>
    <mergeCell ref="M23:P23"/>
    <mergeCell ref="M24:P24"/>
    <mergeCell ref="F12:J12"/>
    <mergeCell ref="F14:J14"/>
    <mergeCell ref="F22:J22"/>
    <mergeCell ref="N9:P9"/>
    <mergeCell ref="N7:P7"/>
    <mergeCell ref="L12:P12"/>
    <mergeCell ref="F39:J39"/>
    <mergeCell ref="E36:J36"/>
    <mergeCell ref="F37:J37"/>
    <mergeCell ref="F35:J35"/>
    <mergeCell ref="E38:J38"/>
    <mergeCell ref="M13:P13"/>
    <mergeCell ref="F34:J34"/>
    <mergeCell ref="E28:J28"/>
    <mergeCell ref="E30:J30"/>
    <mergeCell ref="E33:J33"/>
    <mergeCell ref="F18:J18"/>
    <mergeCell ref="F13:J13"/>
    <mergeCell ref="F16:J16"/>
    <mergeCell ref="F17:J17"/>
    <mergeCell ref="F19:J19"/>
    <mergeCell ref="F20:J20"/>
    <mergeCell ref="F31:J32"/>
    <mergeCell ref="E21:J21"/>
  </mergeCells>
  <hyperlinks>
    <hyperlink ref="G5" r:id="rId1" xr:uid="{00000000-0004-0000-0000-000000000000}"/>
    <hyperlink ref="G5:I5" r:id="rId2" display="http://sbgames.su" xr:uid="{00000000-0004-0000-0000-000001000000}"/>
    <hyperlink ref="G6" r:id="rId3" xr:uid="{00000000-0004-0000-0000-000002000000}"/>
    <hyperlink ref="M15:P15" r:id="rId4" display="Super Trafaret" xr:uid="{00000000-0004-0000-0000-000003000000}"/>
  </hyperlinks>
  <printOptions horizontalCentered="1"/>
  <pageMargins left="0.11811023622047245" right="0.11811023622047245" top="0.15748031496062992" bottom="0.15748031496062992" header="0" footer="0"/>
  <pageSetup paperSize="9"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J67"/>
  <sheetViews>
    <sheetView showGridLines="0" showRowColHeaders="0" workbookViewId="0">
      <selection activeCell="C4" sqref="C4:D4"/>
    </sheetView>
  </sheetViews>
  <sheetFormatPr defaultRowHeight="14.25"/>
  <cols>
    <col min="1" max="1" width="5.28515625" style="131" customWidth="1"/>
    <col min="2" max="2" width="13" style="131" customWidth="1"/>
    <col min="3" max="3" width="9.85546875" style="131" customWidth="1"/>
    <col min="4" max="4" width="19.7109375" style="131" customWidth="1"/>
    <col min="5" max="5" width="14.28515625" style="131" customWidth="1"/>
    <col min="6" max="6" width="13" style="131" customWidth="1"/>
    <col min="7" max="7" width="9.85546875" style="131" customWidth="1"/>
    <col min="8" max="8" width="19.7109375" style="131" customWidth="1"/>
    <col min="9" max="9" width="14.28515625" style="131" customWidth="1"/>
    <col min="10" max="10" width="5.28515625" style="131" customWidth="1"/>
    <col min="11" max="16384" width="9.140625" style="131"/>
  </cols>
  <sheetData>
    <row r="1" spans="1:10">
      <c r="A1" s="174"/>
      <c r="B1" s="174"/>
      <c r="C1" s="174"/>
      <c r="D1" s="174"/>
      <c r="E1" s="174"/>
      <c r="F1" s="174"/>
      <c r="G1" s="174"/>
      <c r="H1" s="174"/>
      <c r="I1" s="174"/>
      <c r="J1" s="174"/>
    </row>
    <row r="2" spans="1:10" ht="15">
      <c r="A2" s="174"/>
      <c r="B2" s="175" t="s">
        <v>151</v>
      </c>
      <c r="C2" s="719" t="s">
        <v>176</v>
      </c>
      <c r="D2" s="720"/>
      <c r="E2" s="174"/>
      <c r="F2" s="174"/>
      <c r="G2" s="174"/>
      <c r="H2" s="174"/>
      <c r="I2" s="174"/>
      <c r="J2" s="174"/>
    </row>
    <row r="3" spans="1:10" ht="15">
      <c r="A3" s="174"/>
      <c r="B3" s="175" t="s">
        <v>152</v>
      </c>
      <c r="C3" s="719" t="s">
        <v>177</v>
      </c>
      <c r="D3" s="720"/>
      <c r="E3" s="174"/>
      <c r="F3" s="174"/>
      <c r="G3" s="174"/>
      <c r="H3" s="174"/>
      <c r="I3" s="174"/>
      <c r="J3" s="174"/>
    </row>
    <row r="4" spans="1:10" ht="15">
      <c r="A4" s="174"/>
      <c r="B4" s="175" t="s">
        <v>153</v>
      </c>
      <c r="C4" s="719" t="s">
        <v>178</v>
      </c>
      <c r="D4" s="720"/>
      <c r="E4" s="174"/>
      <c r="F4" s="174"/>
      <c r="G4" s="174"/>
      <c r="H4" s="174"/>
      <c r="I4" s="174"/>
      <c r="J4" s="174"/>
    </row>
    <row r="5" spans="1:10" ht="15.75" customHeight="1">
      <c r="A5" s="174"/>
      <c r="B5" s="718" t="s">
        <v>146</v>
      </c>
      <c r="C5" s="718"/>
      <c r="D5" s="718"/>
      <c r="E5" s="718"/>
      <c r="F5" s="718"/>
      <c r="G5" s="718"/>
      <c r="H5" s="718"/>
      <c r="I5" s="718"/>
      <c r="J5" s="174"/>
    </row>
    <row r="6" spans="1:10" ht="12" customHeight="1">
      <c r="A6" s="174"/>
      <c r="B6" s="132" t="s">
        <v>147</v>
      </c>
      <c r="C6" s="132" t="s">
        <v>148</v>
      </c>
      <c r="D6" s="132" t="s">
        <v>149</v>
      </c>
      <c r="E6" s="133" t="s">
        <v>150</v>
      </c>
      <c r="F6" s="134" t="s">
        <v>147</v>
      </c>
      <c r="G6" s="132" t="s">
        <v>148</v>
      </c>
      <c r="H6" s="132" t="s">
        <v>149</v>
      </c>
      <c r="I6" s="132" t="s">
        <v>150</v>
      </c>
      <c r="J6" s="174"/>
    </row>
    <row r="7" spans="1:10" ht="15">
      <c r="A7" s="174"/>
      <c r="B7" s="135"/>
      <c r="C7" s="176">
        <v>0</v>
      </c>
      <c r="D7" s="171" t="str">
        <f>CONCATENATE("2/O ",$C$2)</f>
        <v>2/O Secondov S.</v>
      </c>
      <c r="E7" s="136"/>
      <c r="F7" s="137"/>
      <c r="G7" s="176">
        <v>0</v>
      </c>
      <c r="H7" s="171" t="str">
        <f>CONCATENATE("2/O ",$C$2)</f>
        <v>2/O Secondov S.</v>
      </c>
      <c r="I7" s="135"/>
      <c r="J7" s="174"/>
    </row>
    <row r="8" spans="1:10" ht="15">
      <c r="A8" s="174"/>
      <c r="B8" s="138"/>
      <c r="C8" s="177">
        <v>0.16666666666666666</v>
      </c>
      <c r="D8" s="172" t="str">
        <f>CONCATENATE("C/O ",$C$3)</f>
        <v>C/O Starpovov V.</v>
      </c>
      <c r="E8" s="139"/>
      <c r="F8" s="140"/>
      <c r="G8" s="177">
        <v>0.16666666666666666</v>
      </c>
      <c r="H8" s="172" t="str">
        <f>CONCATENATE("C/O ",$C$3)</f>
        <v>C/O Starpovov V.</v>
      </c>
      <c r="I8" s="138"/>
      <c r="J8" s="174"/>
    </row>
    <row r="9" spans="1:10" ht="15">
      <c r="A9" s="174"/>
      <c r="B9" s="138"/>
      <c r="C9" s="177">
        <v>0.33333333333333331</v>
      </c>
      <c r="D9" s="172" t="str">
        <f>CONCATENATE("3/O ",$C$4)</f>
        <v>3/O Tretiy T.</v>
      </c>
      <c r="E9" s="139"/>
      <c r="F9" s="140"/>
      <c r="G9" s="177">
        <v>0.33333333333333331</v>
      </c>
      <c r="H9" s="172" t="str">
        <f>CONCATENATE("3/O ",$C$4)</f>
        <v>3/O Tretiy T.</v>
      </c>
      <c r="I9" s="138"/>
      <c r="J9" s="174"/>
    </row>
    <row r="10" spans="1:10" ht="15">
      <c r="A10" s="174"/>
      <c r="B10" s="138"/>
      <c r="C10" s="177">
        <v>0.5</v>
      </c>
      <c r="D10" s="172" t="str">
        <f>CONCATENATE("2/O ",$C$2)</f>
        <v>2/O Secondov S.</v>
      </c>
      <c r="E10" s="139"/>
      <c r="F10" s="140"/>
      <c r="G10" s="177">
        <v>0.5</v>
      </c>
      <c r="H10" s="172" t="str">
        <f>CONCATENATE("2/O ",$C$2)</f>
        <v>2/O Secondov S.</v>
      </c>
      <c r="I10" s="138"/>
      <c r="J10" s="174"/>
    </row>
    <row r="11" spans="1:10" ht="15">
      <c r="A11" s="174"/>
      <c r="B11" s="138"/>
      <c r="C11" s="177">
        <v>0.66666666666666663</v>
      </c>
      <c r="D11" s="172" t="str">
        <f>CONCATENATE("C/O ",$C$3)</f>
        <v>C/O Starpovov V.</v>
      </c>
      <c r="E11" s="139"/>
      <c r="F11" s="140"/>
      <c r="G11" s="177">
        <v>0.66666666666666663</v>
      </c>
      <c r="H11" s="172" t="str">
        <f>CONCATENATE("C/O ",$C$3)</f>
        <v>C/O Starpovov V.</v>
      </c>
      <c r="I11" s="138"/>
      <c r="J11" s="174"/>
    </row>
    <row r="12" spans="1:10" ht="15">
      <c r="A12" s="174"/>
      <c r="B12" s="141"/>
      <c r="C12" s="178">
        <v>0.83333333333333337</v>
      </c>
      <c r="D12" s="173" t="str">
        <f>CONCATENATE("3/O ",$C$4)</f>
        <v>3/O Tretiy T.</v>
      </c>
      <c r="E12" s="142"/>
      <c r="F12" s="143"/>
      <c r="G12" s="178">
        <v>0.83333333333333337</v>
      </c>
      <c r="H12" s="173" t="str">
        <f>CONCATENATE("3/O ",$C$4)</f>
        <v>3/O Tretiy T.</v>
      </c>
      <c r="I12" s="141"/>
      <c r="J12" s="174"/>
    </row>
    <row r="13" spans="1:10" ht="15">
      <c r="A13" s="174"/>
      <c r="B13" s="135"/>
      <c r="C13" s="176">
        <v>0</v>
      </c>
      <c r="D13" s="171" t="str">
        <f>CONCATENATE("2/O ",$C$2)</f>
        <v>2/O Secondov S.</v>
      </c>
      <c r="E13" s="136"/>
      <c r="F13" s="137"/>
      <c r="G13" s="176">
        <v>0</v>
      </c>
      <c r="H13" s="171" t="str">
        <f>CONCATENATE("2/O ",$C$2)</f>
        <v>2/O Secondov S.</v>
      </c>
      <c r="I13" s="135"/>
      <c r="J13" s="174"/>
    </row>
    <row r="14" spans="1:10" ht="15">
      <c r="A14" s="174"/>
      <c r="B14" s="138"/>
      <c r="C14" s="177">
        <v>0.16666666666666666</v>
      </c>
      <c r="D14" s="172" t="str">
        <f>CONCATENATE("C/O ",$C$3)</f>
        <v>C/O Starpovov V.</v>
      </c>
      <c r="E14" s="139"/>
      <c r="F14" s="140"/>
      <c r="G14" s="177">
        <v>0.16666666666666666</v>
      </c>
      <c r="H14" s="172" t="str">
        <f>CONCATENATE("C/O ",$C$3)</f>
        <v>C/O Starpovov V.</v>
      </c>
      <c r="I14" s="138"/>
      <c r="J14" s="174"/>
    </row>
    <row r="15" spans="1:10" ht="15">
      <c r="A15" s="174"/>
      <c r="B15" s="138"/>
      <c r="C15" s="177">
        <v>0.33333333333333331</v>
      </c>
      <c r="D15" s="172" t="str">
        <f>CONCATENATE("3/O ",$C$4)</f>
        <v>3/O Tretiy T.</v>
      </c>
      <c r="E15" s="139"/>
      <c r="F15" s="140"/>
      <c r="G15" s="177">
        <v>0.33333333333333331</v>
      </c>
      <c r="H15" s="172" t="str">
        <f>CONCATENATE("3/O ",$C$4)</f>
        <v>3/O Tretiy T.</v>
      </c>
      <c r="I15" s="138"/>
      <c r="J15" s="174"/>
    </row>
    <row r="16" spans="1:10" ht="15">
      <c r="A16" s="174"/>
      <c r="B16" s="138"/>
      <c r="C16" s="177">
        <v>0.5</v>
      </c>
      <c r="D16" s="172" t="str">
        <f>CONCATENATE("2/O ",$C$2)</f>
        <v>2/O Secondov S.</v>
      </c>
      <c r="E16" s="139"/>
      <c r="F16" s="140"/>
      <c r="G16" s="177">
        <v>0.5</v>
      </c>
      <c r="H16" s="172" t="str">
        <f>CONCATENATE("2/O ",$C$2)</f>
        <v>2/O Secondov S.</v>
      </c>
      <c r="I16" s="138"/>
      <c r="J16" s="174"/>
    </row>
    <row r="17" spans="1:10" ht="15">
      <c r="A17" s="174"/>
      <c r="B17" s="138"/>
      <c r="C17" s="177">
        <v>0.66666666666666663</v>
      </c>
      <c r="D17" s="172" t="str">
        <f>CONCATENATE("C/O ",$C$3)</f>
        <v>C/O Starpovov V.</v>
      </c>
      <c r="E17" s="139"/>
      <c r="F17" s="140"/>
      <c r="G17" s="177">
        <v>0.66666666666666663</v>
      </c>
      <c r="H17" s="172" t="str">
        <f>CONCATENATE("C/O ",$C$3)</f>
        <v>C/O Starpovov V.</v>
      </c>
      <c r="I17" s="138"/>
      <c r="J17" s="174"/>
    </row>
    <row r="18" spans="1:10" ht="15">
      <c r="A18" s="174"/>
      <c r="B18" s="141"/>
      <c r="C18" s="178">
        <v>0.83333333333333337</v>
      </c>
      <c r="D18" s="173" t="str">
        <f>CONCATENATE("3/O ",$C$4)</f>
        <v>3/O Tretiy T.</v>
      </c>
      <c r="E18" s="142"/>
      <c r="F18" s="143"/>
      <c r="G18" s="178">
        <v>0.83333333333333337</v>
      </c>
      <c r="H18" s="173" t="str">
        <f>CONCATENATE("3/O ",$C$4)</f>
        <v>3/O Tretiy T.</v>
      </c>
      <c r="I18" s="141"/>
      <c r="J18" s="174"/>
    </row>
    <row r="19" spans="1:10" ht="15">
      <c r="A19" s="174"/>
      <c r="B19" s="135"/>
      <c r="C19" s="176">
        <v>0</v>
      </c>
      <c r="D19" s="171" t="str">
        <f>CONCATENATE("2/O ",$C$2)</f>
        <v>2/O Secondov S.</v>
      </c>
      <c r="E19" s="136"/>
      <c r="F19" s="137"/>
      <c r="G19" s="176">
        <v>0</v>
      </c>
      <c r="H19" s="171" t="str">
        <f>CONCATENATE("2/O ",$C$2)</f>
        <v>2/O Secondov S.</v>
      </c>
      <c r="I19" s="135"/>
      <c r="J19" s="174"/>
    </row>
    <row r="20" spans="1:10" ht="15">
      <c r="A20" s="174"/>
      <c r="B20" s="138"/>
      <c r="C20" s="177">
        <v>0.16666666666666666</v>
      </c>
      <c r="D20" s="172" t="str">
        <f>CONCATENATE("C/O ",$C$3)</f>
        <v>C/O Starpovov V.</v>
      </c>
      <c r="E20" s="139"/>
      <c r="F20" s="140"/>
      <c r="G20" s="177">
        <v>0.16666666666666666</v>
      </c>
      <c r="H20" s="172" t="str">
        <f>CONCATENATE("C/O ",$C$3)</f>
        <v>C/O Starpovov V.</v>
      </c>
      <c r="I20" s="138"/>
      <c r="J20" s="174"/>
    </row>
    <row r="21" spans="1:10" ht="15">
      <c r="A21" s="174"/>
      <c r="B21" s="138"/>
      <c r="C21" s="177">
        <v>0.33333333333333331</v>
      </c>
      <c r="D21" s="172" t="str">
        <f>CONCATENATE("3/O ",$C$4)</f>
        <v>3/O Tretiy T.</v>
      </c>
      <c r="E21" s="139"/>
      <c r="F21" s="140"/>
      <c r="G21" s="177">
        <v>0.33333333333333331</v>
      </c>
      <c r="H21" s="172" t="str">
        <f>CONCATENATE("3/O ",$C$4)</f>
        <v>3/O Tretiy T.</v>
      </c>
      <c r="I21" s="138"/>
      <c r="J21" s="174"/>
    </row>
    <row r="22" spans="1:10" ht="15">
      <c r="A22" s="174"/>
      <c r="B22" s="138"/>
      <c r="C22" s="177">
        <v>0.5</v>
      </c>
      <c r="D22" s="172" t="str">
        <f>CONCATENATE("2/O ",$C$2)</f>
        <v>2/O Secondov S.</v>
      </c>
      <c r="E22" s="139"/>
      <c r="F22" s="140"/>
      <c r="G22" s="177">
        <v>0.5</v>
      </c>
      <c r="H22" s="172" t="str">
        <f>CONCATENATE("2/O ",$C$2)</f>
        <v>2/O Secondov S.</v>
      </c>
      <c r="I22" s="138"/>
      <c r="J22" s="174"/>
    </row>
    <row r="23" spans="1:10" ht="15">
      <c r="A23" s="174"/>
      <c r="B23" s="138"/>
      <c r="C23" s="177">
        <v>0.66666666666666663</v>
      </c>
      <c r="D23" s="172" t="str">
        <f>CONCATENATE("C/O ",$C$3)</f>
        <v>C/O Starpovov V.</v>
      </c>
      <c r="E23" s="139"/>
      <c r="F23" s="140"/>
      <c r="G23" s="177">
        <v>0.66666666666666663</v>
      </c>
      <c r="H23" s="172" t="str">
        <f>CONCATENATE("C/O ",$C$3)</f>
        <v>C/O Starpovov V.</v>
      </c>
      <c r="I23" s="138"/>
      <c r="J23" s="174"/>
    </row>
    <row r="24" spans="1:10" ht="15">
      <c r="A24" s="174"/>
      <c r="B24" s="141"/>
      <c r="C24" s="178">
        <v>0.83333333333333337</v>
      </c>
      <c r="D24" s="173" t="str">
        <f>CONCATENATE("3/O ",$C$4)</f>
        <v>3/O Tretiy T.</v>
      </c>
      <c r="E24" s="142"/>
      <c r="F24" s="143"/>
      <c r="G24" s="178">
        <v>0.83333333333333337</v>
      </c>
      <c r="H24" s="173" t="str">
        <f>CONCATENATE("3/O ",$C$4)</f>
        <v>3/O Tretiy T.</v>
      </c>
      <c r="I24" s="141"/>
      <c r="J24" s="174"/>
    </row>
    <row r="25" spans="1:10" ht="15">
      <c r="A25" s="174"/>
      <c r="B25" s="135"/>
      <c r="C25" s="176">
        <v>0</v>
      </c>
      <c r="D25" s="171" t="str">
        <f>CONCATENATE("2/O ",$C$2)</f>
        <v>2/O Secondov S.</v>
      </c>
      <c r="E25" s="136"/>
      <c r="F25" s="137"/>
      <c r="G25" s="176">
        <v>0</v>
      </c>
      <c r="H25" s="171" t="str">
        <f>CONCATENATE("2/O ",$C$2)</f>
        <v>2/O Secondov S.</v>
      </c>
      <c r="I25" s="135"/>
      <c r="J25" s="174"/>
    </row>
    <row r="26" spans="1:10" ht="15">
      <c r="A26" s="174"/>
      <c r="B26" s="138"/>
      <c r="C26" s="177">
        <v>0.16666666666666666</v>
      </c>
      <c r="D26" s="172" t="str">
        <f>CONCATENATE("C/O ",$C$3)</f>
        <v>C/O Starpovov V.</v>
      </c>
      <c r="E26" s="139"/>
      <c r="F26" s="140"/>
      <c r="G26" s="177">
        <v>0.16666666666666666</v>
      </c>
      <c r="H26" s="172" t="str">
        <f>CONCATENATE("C/O ",$C$3)</f>
        <v>C/O Starpovov V.</v>
      </c>
      <c r="I26" s="138"/>
      <c r="J26" s="174"/>
    </row>
    <row r="27" spans="1:10" ht="15">
      <c r="A27" s="174"/>
      <c r="B27" s="138"/>
      <c r="C27" s="177">
        <v>0.33333333333333331</v>
      </c>
      <c r="D27" s="172" t="str">
        <f>CONCATENATE("3/O ",$C$4)</f>
        <v>3/O Tretiy T.</v>
      </c>
      <c r="E27" s="139"/>
      <c r="F27" s="140"/>
      <c r="G27" s="177">
        <v>0.33333333333333331</v>
      </c>
      <c r="H27" s="172" t="str">
        <f>CONCATENATE("3/O ",$C$4)</f>
        <v>3/O Tretiy T.</v>
      </c>
      <c r="I27" s="138"/>
      <c r="J27" s="174"/>
    </row>
    <row r="28" spans="1:10" ht="15">
      <c r="A28" s="174"/>
      <c r="B28" s="138"/>
      <c r="C28" s="177">
        <v>0.5</v>
      </c>
      <c r="D28" s="172" t="str">
        <f>CONCATENATE("2/O ",$C$2)</f>
        <v>2/O Secondov S.</v>
      </c>
      <c r="E28" s="139"/>
      <c r="F28" s="140"/>
      <c r="G28" s="177">
        <v>0.5</v>
      </c>
      <c r="H28" s="172" t="str">
        <f>CONCATENATE("2/O ",$C$2)</f>
        <v>2/O Secondov S.</v>
      </c>
      <c r="I28" s="138"/>
      <c r="J28" s="174"/>
    </row>
    <row r="29" spans="1:10" ht="15">
      <c r="A29" s="174"/>
      <c r="B29" s="138"/>
      <c r="C29" s="177">
        <v>0.66666666666666663</v>
      </c>
      <c r="D29" s="172" t="str">
        <f>CONCATENATE("C/O ",$C$3)</f>
        <v>C/O Starpovov V.</v>
      </c>
      <c r="E29" s="139"/>
      <c r="F29" s="140"/>
      <c r="G29" s="177">
        <v>0.66666666666666663</v>
      </c>
      <c r="H29" s="172" t="str">
        <f>CONCATENATE("C/O ",$C$3)</f>
        <v>C/O Starpovov V.</v>
      </c>
      <c r="I29" s="138"/>
      <c r="J29" s="174"/>
    </row>
    <row r="30" spans="1:10" ht="15">
      <c r="A30" s="174"/>
      <c r="B30" s="141"/>
      <c r="C30" s="178">
        <v>0.83333333333333337</v>
      </c>
      <c r="D30" s="173" t="str">
        <f>CONCATENATE("3/O ",$C$4)</f>
        <v>3/O Tretiy T.</v>
      </c>
      <c r="E30" s="142"/>
      <c r="F30" s="143"/>
      <c r="G30" s="178">
        <v>0.83333333333333337</v>
      </c>
      <c r="H30" s="173" t="str">
        <f>CONCATENATE("3/O ",$C$4)</f>
        <v>3/O Tretiy T.</v>
      </c>
      <c r="I30" s="141"/>
      <c r="J30" s="174"/>
    </row>
    <row r="31" spans="1:10" ht="15">
      <c r="A31" s="174"/>
      <c r="B31" s="135"/>
      <c r="C31" s="176">
        <v>0</v>
      </c>
      <c r="D31" s="171" t="str">
        <f>CONCATENATE("2/O ",$C$2)</f>
        <v>2/O Secondov S.</v>
      </c>
      <c r="E31" s="136"/>
      <c r="F31" s="137"/>
      <c r="G31" s="176">
        <v>0</v>
      </c>
      <c r="H31" s="171" t="str">
        <f>CONCATENATE("2/O ",$C$2)</f>
        <v>2/O Secondov S.</v>
      </c>
      <c r="I31" s="135"/>
      <c r="J31" s="174"/>
    </row>
    <row r="32" spans="1:10" ht="15">
      <c r="A32" s="174"/>
      <c r="B32" s="138"/>
      <c r="C32" s="177">
        <v>0.16666666666666666</v>
      </c>
      <c r="D32" s="172" t="str">
        <f>CONCATENATE("C/O ",$C$3)</f>
        <v>C/O Starpovov V.</v>
      </c>
      <c r="E32" s="139"/>
      <c r="F32" s="140"/>
      <c r="G32" s="177">
        <v>0.16666666666666666</v>
      </c>
      <c r="H32" s="172" t="str">
        <f>CONCATENATE("C/O ",$C$3)</f>
        <v>C/O Starpovov V.</v>
      </c>
      <c r="I32" s="138"/>
      <c r="J32" s="174"/>
    </row>
    <row r="33" spans="1:10" ht="15">
      <c r="A33" s="174"/>
      <c r="B33" s="138"/>
      <c r="C33" s="177">
        <v>0.33333333333333331</v>
      </c>
      <c r="D33" s="172" t="str">
        <f>CONCATENATE("3/O ",$C$4)</f>
        <v>3/O Tretiy T.</v>
      </c>
      <c r="E33" s="139"/>
      <c r="F33" s="140"/>
      <c r="G33" s="177">
        <v>0.33333333333333331</v>
      </c>
      <c r="H33" s="172" t="str">
        <f>CONCATENATE("3/O ",$C$4)</f>
        <v>3/O Tretiy T.</v>
      </c>
      <c r="I33" s="138"/>
      <c r="J33" s="174"/>
    </row>
    <row r="34" spans="1:10" ht="15">
      <c r="A34" s="174"/>
      <c r="B34" s="138"/>
      <c r="C34" s="177">
        <v>0.5</v>
      </c>
      <c r="D34" s="172" t="str">
        <f>CONCATENATE("2/O ",$C$2)</f>
        <v>2/O Secondov S.</v>
      </c>
      <c r="E34" s="139"/>
      <c r="F34" s="140"/>
      <c r="G34" s="177">
        <v>0.5</v>
      </c>
      <c r="H34" s="172" t="str">
        <f>CONCATENATE("2/O ",$C$2)</f>
        <v>2/O Secondov S.</v>
      </c>
      <c r="I34" s="138"/>
      <c r="J34" s="174"/>
    </row>
    <row r="35" spans="1:10" ht="15">
      <c r="A35" s="174"/>
      <c r="B35" s="138"/>
      <c r="C35" s="177">
        <v>0.66666666666666663</v>
      </c>
      <c r="D35" s="172" t="str">
        <f>CONCATENATE("C/O ",$C$3)</f>
        <v>C/O Starpovov V.</v>
      </c>
      <c r="E35" s="139"/>
      <c r="F35" s="140"/>
      <c r="G35" s="177">
        <v>0.66666666666666663</v>
      </c>
      <c r="H35" s="172" t="str">
        <f>CONCATENATE("C/O ",$C$3)</f>
        <v>C/O Starpovov V.</v>
      </c>
      <c r="I35" s="138"/>
      <c r="J35" s="174"/>
    </row>
    <row r="36" spans="1:10" ht="15">
      <c r="A36" s="174"/>
      <c r="B36" s="141"/>
      <c r="C36" s="178">
        <v>0.83333333333333337</v>
      </c>
      <c r="D36" s="173" t="str">
        <f>CONCATENATE("3/O ",$C$4)</f>
        <v>3/O Tretiy T.</v>
      </c>
      <c r="E36" s="142"/>
      <c r="F36" s="143"/>
      <c r="G36" s="178">
        <v>0.83333333333333337</v>
      </c>
      <c r="H36" s="173" t="str">
        <f>CONCATENATE("3/O ",$C$4)</f>
        <v>3/O Tretiy T.</v>
      </c>
      <c r="I36" s="141"/>
      <c r="J36" s="174"/>
    </row>
    <row r="37" spans="1:10" ht="15">
      <c r="A37" s="174"/>
      <c r="B37" s="135"/>
      <c r="C37" s="176">
        <v>0</v>
      </c>
      <c r="D37" s="171" t="str">
        <f>CONCATENATE("2/O ",$C$2)</f>
        <v>2/O Secondov S.</v>
      </c>
      <c r="E37" s="136"/>
      <c r="F37" s="137"/>
      <c r="G37" s="176">
        <v>0</v>
      </c>
      <c r="H37" s="171" t="str">
        <f>CONCATENATE("2/O ",$C$2)</f>
        <v>2/O Secondov S.</v>
      </c>
      <c r="I37" s="135"/>
      <c r="J37" s="174"/>
    </row>
    <row r="38" spans="1:10" ht="15">
      <c r="A38" s="174"/>
      <c r="B38" s="138"/>
      <c r="C38" s="177">
        <v>0.16666666666666666</v>
      </c>
      <c r="D38" s="172" t="str">
        <f>CONCATENATE("C/O ",$C$3)</f>
        <v>C/O Starpovov V.</v>
      </c>
      <c r="E38" s="139"/>
      <c r="F38" s="140"/>
      <c r="G38" s="177">
        <v>0.16666666666666666</v>
      </c>
      <c r="H38" s="172" t="str">
        <f>CONCATENATE("C/O ",$C$3)</f>
        <v>C/O Starpovov V.</v>
      </c>
      <c r="I38" s="138"/>
      <c r="J38" s="174"/>
    </row>
    <row r="39" spans="1:10" ht="15">
      <c r="A39" s="174"/>
      <c r="B39" s="138"/>
      <c r="C39" s="177">
        <v>0.33333333333333331</v>
      </c>
      <c r="D39" s="172" t="str">
        <f>CONCATENATE("3/O ",$C$4)</f>
        <v>3/O Tretiy T.</v>
      </c>
      <c r="E39" s="139"/>
      <c r="F39" s="140"/>
      <c r="G39" s="177">
        <v>0.33333333333333331</v>
      </c>
      <c r="H39" s="172" t="str">
        <f>CONCATENATE("3/O ",$C$4)</f>
        <v>3/O Tretiy T.</v>
      </c>
      <c r="I39" s="138"/>
      <c r="J39" s="174"/>
    </row>
    <row r="40" spans="1:10" ht="15">
      <c r="A40" s="174"/>
      <c r="B40" s="138"/>
      <c r="C40" s="177">
        <v>0.5</v>
      </c>
      <c r="D40" s="172" t="str">
        <f>CONCATENATE("2/O ",$C$2)</f>
        <v>2/O Secondov S.</v>
      </c>
      <c r="E40" s="139"/>
      <c r="F40" s="140"/>
      <c r="G40" s="177">
        <v>0.5</v>
      </c>
      <c r="H40" s="172" t="str">
        <f>CONCATENATE("2/O ",$C$2)</f>
        <v>2/O Secondov S.</v>
      </c>
      <c r="I40" s="138"/>
      <c r="J40" s="174"/>
    </row>
    <row r="41" spans="1:10" ht="15">
      <c r="A41" s="174"/>
      <c r="B41" s="138"/>
      <c r="C41" s="177">
        <v>0.66666666666666663</v>
      </c>
      <c r="D41" s="172" t="str">
        <f>CONCATENATE("C/O ",$C$3)</f>
        <v>C/O Starpovov V.</v>
      </c>
      <c r="E41" s="139"/>
      <c r="F41" s="140"/>
      <c r="G41" s="177">
        <v>0.66666666666666663</v>
      </c>
      <c r="H41" s="172" t="str">
        <f>CONCATENATE("C/O ",$C$3)</f>
        <v>C/O Starpovov V.</v>
      </c>
      <c r="I41" s="138"/>
      <c r="J41" s="174"/>
    </row>
    <row r="42" spans="1:10" ht="15">
      <c r="A42" s="174"/>
      <c r="B42" s="141"/>
      <c r="C42" s="178">
        <v>0.83333333333333337</v>
      </c>
      <c r="D42" s="173" t="str">
        <f>CONCATENATE("3/O ",$C$4)</f>
        <v>3/O Tretiy T.</v>
      </c>
      <c r="E42" s="142"/>
      <c r="F42" s="143"/>
      <c r="G42" s="178">
        <v>0.83333333333333337</v>
      </c>
      <c r="H42" s="173" t="str">
        <f>CONCATENATE("3/O ",$C$4)</f>
        <v>3/O Tretiy T.</v>
      </c>
      <c r="I42" s="141"/>
      <c r="J42" s="174"/>
    </row>
    <row r="43" spans="1:10" ht="15">
      <c r="A43" s="174"/>
      <c r="B43" s="135"/>
      <c r="C43" s="176">
        <v>0</v>
      </c>
      <c r="D43" s="171" t="str">
        <f>CONCATENATE("2/O ",$C$2)</f>
        <v>2/O Secondov S.</v>
      </c>
      <c r="E43" s="136"/>
      <c r="F43" s="137"/>
      <c r="G43" s="176">
        <v>0</v>
      </c>
      <c r="H43" s="171" t="str">
        <f>CONCATENATE("2/O ",$C$2)</f>
        <v>2/O Secondov S.</v>
      </c>
      <c r="I43" s="135"/>
      <c r="J43" s="174"/>
    </row>
    <row r="44" spans="1:10" ht="15">
      <c r="A44" s="174"/>
      <c r="B44" s="138"/>
      <c r="C44" s="177">
        <v>0.16666666666666666</v>
      </c>
      <c r="D44" s="172" t="str">
        <f>CONCATENATE("C/O ",$C$3)</f>
        <v>C/O Starpovov V.</v>
      </c>
      <c r="E44" s="139"/>
      <c r="F44" s="140"/>
      <c r="G44" s="177">
        <v>0.16666666666666666</v>
      </c>
      <c r="H44" s="172" t="str">
        <f>CONCATENATE("C/O ",$C$3)</f>
        <v>C/O Starpovov V.</v>
      </c>
      <c r="I44" s="138"/>
      <c r="J44" s="174"/>
    </row>
    <row r="45" spans="1:10" ht="15">
      <c r="A45" s="174"/>
      <c r="B45" s="138"/>
      <c r="C45" s="177">
        <v>0.33333333333333331</v>
      </c>
      <c r="D45" s="172" t="str">
        <f>CONCATENATE("3/O ",$C$4)</f>
        <v>3/O Tretiy T.</v>
      </c>
      <c r="E45" s="139"/>
      <c r="F45" s="140"/>
      <c r="G45" s="177">
        <v>0.33333333333333331</v>
      </c>
      <c r="H45" s="172" t="str">
        <f>CONCATENATE("3/O ",$C$4)</f>
        <v>3/O Tretiy T.</v>
      </c>
      <c r="I45" s="138"/>
      <c r="J45" s="174"/>
    </row>
    <row r="46" spans="1:10" ht="15">
      <c r="A46" s="174"/>
      <c r="B46" s="138"/>
      <c r="C46" s="177">
        <v>0.5</v>
      </c>
      <c r="D46" s="172" t="str">
        <f>CONCATENATE("2/O ",$C$2)</f>
        <v>2/O Secondov S.</v>
      </c>
      <c r="E46" s="139"/>
      <c r="F46" s="140"/>
      <c r="G46" s="177">
        <v>0.5</v>
      </c>
      <c r="H46" s="172" t="str">
        <f>CONCATENATE("2/O ",$C$2)</f>
        <v>2/O Secondov S.</v>
      </c>
      <c r="I46" s="138"/>
      <c r="J46" s="174"/>
    </row>
    <row r="47" spans="1:10" ht="15">
      <c r="A47" s="174"/>
      <c r="B47" s="138"/>
      <c r="C47" s="177">
        <v>0.66666666666666663</v>
      </c>
      <c r="D47" s="172" t="str">
        <f>CONCATENATE("C/O ",$C$3)</f>
        <v>C/O Starpovov V.</v>
      </c>
      <c r="E47" s="139"/>
      <c r="F47" s="140"/>
      <c r="G47" s="177">
        <v>0.66666666666666663</v>
      </c>
      <c r="H47" s="172" t="str">
        <f>CONCATENATE("C/O ",$C$3)</f>
        <v>C/O Starpovov V.</v>
      </c>
      <c r="I47" s="138"/>
      <c r="J47" s="174"/>
    </row>
    <row r="48" spans="1:10" ht="15">
      <c r="A48" s="174"/>
      <c r="B48" s="141"/>
      <c r="C48" s="178">
        <v>0.83333333333333337</v>
      </c>
      <c r="D48" s="173" t="str">
        <f>CONCATENATE("3/O ",$C$4)</f>
        <v>3/O Tretiy T.</v>
      </c>
      <c r="E48" s="142"/>
      <c r="F48" s="143"/>
      <c r="G48" s="178">
        <v>0.83333333333333337</v>
      </c>
      <c r="H48" s="173" t="str">
        <f>CONCATENATE("3/O ",$C$4)</f>
        <v>3/O Tretiy T.</v>
      </c>
      <c r="I48" s="141"/>
      <c r="J48" s="174"/>
    </row>
    <row r="49" spans="1:10" ht="15">
      <c r="A49" s="174"/>
      <c r="B49" s="135"/>
      <c r="C49" s="176">
        <v>0</v>
      </c>
      <c r="D49" s="171" t="str">
        <f>CONCATENATE("2/O ",$C$2)</f>
        <v>2/O Secondov S.</v>
      </c>
      <c r="E49" s="136"/>
      <c r="F49" s="137"/>
      <c r="G49" s="176">
        <v>0</v>
      </c>
      <c r="H49" s="171" t="str">
        <f>CONCATENATE("2/O ",$C$2)</f>
        <v>2/O Secondov S.</v>
      </c>
      <c r="I49" s="135"/>
      <c r="J49" s="174"/>
    </row>
    <row r="50" spans="1:10" ht="15">
      <c r="A50" s="174"/>
      <c r="B50" s="138"/>
      <c r="C50" s="177">
        <v>0.16666666666666666</v>
      </c>
      <c r="D50" s="172" t="str">
        <f>CONCATENATE("C/O ",$C$3)</f>
        <v>C/O Starpovov V.</v>
      </c>
      <c r="E50" s="139"/>
      <c r="F50" s="140"/>
      <c r="G50" s="177">
        <v>0.16666666666666666</v>
      </c>
      <c r="H50" s="172" t="str">
        <f>CONCATENATE("C/O ",$C$3)</f>
        <v>C/O Starpovov V.</v>
      </c>
      <c r="I50" s="138"/>
      <c r="J50" s="174"/>
    </row>
    <row r="51" spans="1:10" ht="15">
      <c r="A51" s="174"/>
      <c r="B51" s="138"/>
      <c r="C51" s="177">
        <v>0.33333333333333331</v>
      </c>
      <c r="D51" s="172" t="str">
        <f>CONCATENATE("3/O ",$C$4)</f>
        <v>3/O Tretiy T.</v>
      </c>
      <c r="E51" s="139"/>
      <c r="F51" s="140"/>
      <c r="G51" s="177">
        <v>0.33333333333333331</v>
      </c>
      <c r="H51" s="172" t="str">
        <f>CONCATENATE("3/O ",$C$4)</f>
        <v>3/O Tretiy T.</v>
      </c>
      <c r="I51" s="138"/>
      <c r="J51" s="174"/>
    </row>
    <row r="52" spans="1:10" ht="15">
      <c r="A52" s="174"/>
      <c r="B52" s="138"/>
      <c r="C52" s="177">
        <v>0.5</v>
      </c>
      <c r="D52" s="172" t="str">
        <f>CONCATENATE("2/O ",$C$2)</f>
        <v>2/O Secondov S.</v>
      </c>
      <c r="E52" s="139"/>
      <c r="F52" s="140"/>
      <c r="G52" s="177">
        <v>0.5</v>
      </c>
      <c r="H52" s="172" t="str">
        <f>CONCATENATE("2/O ",$C$2)</f>
        <v>2/O Secondov S.</v>
      </c>
      <c r="I52" s="138"/>
      <c r="J52" s="174"/>
    </row>
    <row r="53" spans="1:10" ht="15">
      <c r="A53" s="174"/>
      <c r="B53" s="138"/>
      <c r="C53" s="177">
        <v>0.66666666666666663</v>
      </c>
      <c r="D53" s="172" t="str">
        <f>CONCATENATE("C/O ",$C$3)</f>
        <v>C/O Starpovov V.</v>
      </c>
      <c r="E53" s="139"/>
      <c r="F53" s="140"/>
      <c r="G53" s="177">
        <v>0.66666666666666663</v>
      </c>
      <c r="H53" s="172" t="str">
        <f>CONCATENATE("C/O ",$C$3)</f>
        <v>C/O Starpovov V.</v>
      </c>
      <c r="I53" s="138"/>
      <c r="J53" s="174"/>
    </row>
    <row r="54" spans="1:10" ht="15">
      <c r="A54" s="174"/>
      <c r="B54" s="141"/>
      <c r="C54" s="178">
        <v>0.83333333333333337</v>
      </c>
      <c r="D54" s="173" t="str">
        <f>CONCATENATE("3/O ",$C$4)</f>
        <v>3/O Tretiy T.</v>
      </c>
      <c r="E54" s="142"/>
      <c r="F54" s="143"/>
      <c r="G54" s="178">
        <v>0.83333333333333337</v>
      </c>
      <c r="H54" s="173" t="str">
        <f>CONCATENATE("3/O ",$C$4)</f>
        <v>3/O Tretiy T.</v>
      </c>
      <c r="I54" s="141"/>
      <c r="J54" s="174"/>
    </row>
    <row r="55" spans="1:10" ht="15">
      <c r="A55" s="174"/>
      <c r="B55" s="135"/>
      <c r="C55" s="176">
        <v>0</v>
      </c>
      <c r="D55" s="171" t="str">
        <f>CONCATENATE("2/O ",$C$2)</f>
        <v>2/O Secondov S.</v>
      </c>
      <c r="E55" s="136"/>
      <c r="F55" s="137"/>
      <c r="G55" s="176">
        <v>0</v>
      </c>
      <c r="H55" s="171" t="str">
        <f>CONCATENATE("2/O ",$C$2)</f>
        <v>2/O Secondov S.</v>
      </c>
      <c r="I55" s="135"/>
      <c r="J55" s="174"/>
    </row>
    <row r="56" spans="1:10" ht="15">
      <c r="A56" s="174"/>
      <c r="B56" s="138"/>
      <c r="C56" s="177">
        <v>0.16666666666666666</v>
      </c>
      <c r="D56" s="172" t="str">
        <f>CONCATENATE("C/O ",$C$3)</f>
        <v>C/O Starpovov V.</v>
      </c>
      <c r="E56" s="139"/>
      <c r="F56" s="140"/>
      <c r="G56" s="177">
        <v>0.16666666666666666</v>
      </c>
      <c r="H56" s="172" t="str">
        <f>CONCATENATE("C/O ",$C$3)</f>
        <v>C/O Starpovov V.</v>
      </c>
      <c r="I56" s="138"/>
      <c r="J56" s="174"/>
    </row>
    <row r="57" spans="1:10" ht="15">
      <c r="A57" s="174"/>
      <c r="B57" s="138"/>
      <c r="C57" s="177">
        <v>0.33333333333333331</v>
      </c>
      <c r="D57" s="172" t="str">
        <f>CONCATENATE("3/O ",$C$4)</f>
        <v>3/O Tretiy T.</v>
      </c>
      <c r="E57" s="139"/>
      <c r="F57" s="140"/>
      <c r="G57" s="177">
        <v>0.33333333333333331</v>
      </c>
      <c r="H57" s="172" t="str">
        <f>CONCATENATE("3/O ",$C$4)</f>
        <v>3/O Tretiy T.</v>
      </c>
      <c r="I57" s="138"/>
      <c r="J57" s="174"/>
    </row>
    <row r="58" spans="1:10" ht="15">
      <c r="A58" s="174"/>
      <c r="B58" s="138"/>
      <c r="C58" s="177">
        <v>0.5</v>
      </c>
      <c r="D58" s="172" t="str">
        <f>CONCATENATE("2/O ",$C$2)</f>
        <v>2/O Secondov S.</v>
      </c>
      <c r="E58" s="139"/>
      <c r="F58" s="140"/>
      <c r="G58" s="177">
        <v>0.5</v>
      </c>
      <c r="H58" s="172" t="str">
        <f>CONCATENATE("2/O ",$C$2)</f>
        <v>2/O Secondov S.</v>
      </c>
      <c r="I58" s="138"/>
      <c r="J58" s="174"/>
    </row>
    <row r="59" spans="1:10" ht="15">
      <c r="A59" s="174"/>
      <c r="B59" s="138"/>
      <c r="C59" s="177">
        <v>0.66666666666666663</v>
      </c>
      <c r="D59" s="172" t="str">
        <f>CONCATENATE("C/O ",$C$3)</f>
        <v>C/O Starpovov V.</v>
      </c>
      <c r="E59" s="139"/>
      <c r="F59" s="140"/>
      <c r="G59" s="177">
        <v>0.66666666666666663</v>
      </c>
      <c r="H59" s="172" t="str">
        <f>CONCATENATE("C/O ",$C$3)</f>
        <v>C/O Starpovov V.</v>
      </c>
      <c r="I59" s="138"/>
      <c r="J59" s="174"/>
    </row>
    <row r="60" spans="1:10" ht="15">
      <c r="A60" s="174"/>
      <c r="B60" s="141"/>
      <c r="C60" s="178">
        <v>0.83333333333333337</v>
      </c>
      <c r="D60" s="173" t="str">
        <f>CONCATENATE("3/O ",$C$4)</f>
        <v>3/O Tretiy T.</v>
      </c>
      <c r="E60" s="142"/>
      <c r="F60" s="143"/>
      <c r="G60" s="178">
        <v>0.83333333333333337</v>
      </c>
      <c r="H60" s="173" t="str">
        <f>CONCATENATE("3/O ",$C$4)</f>
        <v>3/O Tretiy T.</v>
      </c>
      <c r="I60" s="141"/>
      <c r="J60" s="174"/>
    </row>
    <row r="61" spans="1:10" ht="15">
      <c r="A61" s="174"/>
      <c r="B61" s="135"/>
      <c r="C61" s="176">
        <v>0</v>
      </c>
      <c r="D61" s="171" t="str">
        <f>CONCATENATE("2/O ",$C$2)</f>
        <v>2/O Secondov S.</v>
      </c>
      <c r="E61" s="136"/>
      <c r="F61" s="137"/>
      <c r="G61" s="176">
        <v>0</v>
      </c>
      <c r="H61" s="171" t="str">
        <f>CONCATENATE("2/O ",$C$2)</f>
        <v>2/O Secondov S.</v>
      </c>
      <c r="I61" s="135"/>
      <c r="J61" s="174"/>
    </row>
    <row r="62" spans="1:10" ht="15">
      <c r="A62" s="174"/>
      <c r="B62" s="138"/>
      <c r="C62" s="177">
        <v>0.16666666666666666</v>
      </c>
      <c r="D62" s="172" t="str">
        <f>CONCATENATE("C/O ",$C$3)</f>
        <v>C/O Starpovov V.</v>
      </c>
      <c r="E62" s="139"/>
      <c r="F62" s="140"/>
      <c r="G62" s="177">
        <v>0.16666666666666666</v>
      </c>
      <c r="H62" s="172" t="str">
        <f>CONCATENATE("C/O ",$C$3)</f>
        <v>C/O Starpovov V.</v>
      </c>
      <c r="I62" s="138"/>
      <c r="J62" s="174"/>
    </row>
    <row r="63" spans="1:10" ht="15">
      <c r="A63" s="174"/>
      <c r="B63" s="138"/>
      <c r="C63" s="177">
        <v>0.33333333333333331</v>
      </c>
      <c r="D63" s="172" t="str">
        <f>CONCATENATE("3/O ",$C$4)</f>
        <v>3/O Tretiy T.</v>
      </c>
      <c r="E63" s="139"/>
      <c r="F63" s="140"/>
      <c r="G63" s="177">
        <v>0.33333333333333331</v>
      </c>
      <c r="H63" s="172" t="str">
        <f>CONCATENATE("3/O ",$C$4)</f>
        <v>3/O Tretiy T.</v>
      </c>
      <c r="I63" s="138"/>
      <c r="J63" s="174"/>
    </row>
    <row r="64" spans="1:10" ht="15">
      <c r="A64" s="174"/>
      <c r="B64" s="138"/>
      <c r="C64" s="177">
        <v>0.5</v>
      </c>
      <c r="D64" s="172" t="str">
        <f>CONCATENATE("2/O ",$C$2)</f>
        <v>2/O Secondov S.</v>
      </c>
      <c r="E64" s="139"/>
      <c r="F64" s="140"/>
      <c r="G64" s="177">
        <v>0.5</v>
      </c>
      <c r="H64" s="172" t="str">
        <f>CONCATENATE("2/O ",$C$2)</f>
        <v>2/O Secondov S.</v>
      </c>
      <c r="I64" s="138"/>
      <c r="J64" s="174"/>
    </row>
    <row r="65" spans="1:10" ht="15">
      <c r="A65" s="174"/>
      <c r="B65" s="138"/>
      <c r="C65" s="177">
        <v>0.66666666666666663</v>
      </c>
      <c r="D65" s="172" t="str">
        <f>CONCATENATE("C/O ",$C$3)</f>
        <v>C/O Starpovov V.</v>
      </c>
      <c r="E65" s="139"/>
      <c r="F65" s="140"/>
      <c r="G65" s="177">
        <v>0.66666666666666663</v>
      </c>
      <c r="H65" s="172" t="str">
        <f>CONCATENATE("C/O ",$C$3)</f>
        <v>C/O Starpovov V.</v>
      </c>
      <c r="I65" s="138"/>
      <c r="J65" s="174"/>
    </row>
    <row r="66" spans="1:10" ht="15">
      <c r="A66" s="174"/>
      <c r="B66" s="141"/>
      <c r="C66" s="178">
        <v>0.83333333333333337</v>
      </c>
      <c r="D66" s="173" t="str">
        <f>CONCATENATE("3/O ",$C$4)</f>
        <v>3/O Tretiy T.</v>
      </c>
      <c r="E66" s="142"/>
      <c r="F66" s="143"/>
      <c r="G66" s="178">
        <v>0.83333333333333337</v>
      </c>
      <c r="H66" s="173" t="str">
        <f>CONCATENATE("3/O ",$C$4)</f>
        <v>3/O Tretiy T.</v>
      </c>
      <c r="I66" s="141"/>
      <c r="J66" s="174"/>
    </row>
    <row r="67" spans="1:10" ht="27.75" customHeight="1">
      <c r="A67" s="174"/>
      <c r="B67" s="174"/>
      <c r="C67" s="174"/>
      <c r="D67" s="174"/>
      <c r="E67" s="174"/>
      <c r="F67" s="174"/>
      <c r="G67" s="174"/>
      <c r="H67" s="174"/>
      <c r="I67" s="174"/>
      <c r="J67" s="174"/>
    </row>
  </sheetData>
  <sheetProtection sheet="1" objects="1" scenarios="1"/>
  <mergeCells count="4">
    <mergeCell ref="B5:I5"/>
    <mergeCell ref="C2:D2"/>
    <mergeCell ref="C3:D3"/>
    <mergeCell ref="C4:D4"/>
  </mergeCells>
  <printOptions horizontalCentered="1"/>
  <pageMargins left="0" right="0" top="0" bottom="0" header="0" footer="0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Worksheet____1">
    <tabColor indexed="43"/>
  </sheetPr>
  <dimension ref="A1:M16"/>
  <sheetViews>
    <sheetView showGridLines="0" showRowColHeaders="0" zoomScale="70" zoomScaleNormal="70" workbookViewId="0">
      <selection activeCell="M51" sqref="M51"/>
    </sheetView>
  </sheetViews>
  <sheetFormatPr defaultRowHeight="12.75"/>
  <cols>
    <col min="1" max="1" width="2.85546875" style="2" customWidth="1"/>
    <col min="2" max="2" width="5.7109375" style="2" customWidth="1"/>
    <col min="3" max="4" width="23.5703125" style="2" customWidth="1"/>
    <col min="5" max="6" width="23.42578125" style="2" customWidth="1"/>
    <col min="7" max="7" width="5.7109375" style="2" customWidth="1"/>
    <col min="8" max="8" width="2.85546875" style="2" customWidth="1"/>
    <col min="9" max="9" width="3.7109375" style="2" customWidth="1"/>
    <col min="10" max="10" width="22.7109375" style="2" customWidth="1"/>
    <col min="11" max="12" width="11.85546875" style="2" customWidth="1"/>
    <col min="13" max="13" width="13.28515625" style="2" customWidth="1"/>
    <col min="14" max="16384" width="9.140625" style="2"/>
  </cols>
  <sheetData>
    <row r="1" spans="1:13" ht="15" customHeight="1" thickBot="1">
      <c r="A1" s="1"/>
      <c r="B1" s="1"/>
      <c r="C1" s="1"/>
      <c r="D1" s="17"/>
      <c r="E1" s="17"/>
      <c r="F1" s="17"/>
      <c r="G1" s="1"/>
      <c r="H1" s="1"/>
    </row>
    <row r="2" spans="1:13" ht="39.75" customHeight="1" thickTop="1" thickBot="1">
      <c r="A2" s="3"/>
      <c r="B2" s="4"/>
      <c r="C2" s="25" t="str">
        <f>K11</f>
        <v>m/v Name</v>
      </c>
      <c r="D2" s="726" t="str">
        <f>CONCATENATE("Shadow sectors of ''",K12,"''")</f>
        <v>Shadow sectors of ''Furuno X-Band radar''</v>
      </c>
      <c r="E2" s="726"/>
      <c r="F2" s="726"/>
      <c r="G2" s="727"/>
      <c r="H2" s="3"/>
    </row>
    <row r="3" spans="1:13" ht="42" customHeight="1">
      <c r="A3" s="3"/>
      <c r="B3" s="5"/>
      <c r="C3" s="16"/>
      <c r="D3" s="24" t="s">
        <v>7</v>
      </c>
      <c r="E3" s="21"/>
      <c r="F3" s="730" t="str">
        <f>'RADAR 1'!K9</f>
        <v>150 m (Lc)</v>
      </c>
      <c r="G3" s="731"/>
      <c r="H3" s="3"/>
      <c r="J3" s="8" t="s">
        <v>1</v>
      </c>
      <c r="K3" s="90">
        <v>163</v>
      </c>
      <c r="L3" s="9"/>
      <c r="M3" s="10"/>
    </row>
    <row r="4" spans="1:13" ht="42" customHeight="1">
      <c r="A4" s="3"/>
      <c r="B4" s="5"/>
      <c r="C4" s="6"/>
      <c r="D4" s="6"/>
      <c r="E4" s="22"/>
      <c r="F4" s="728" t="str">
        <f>'RADAR 1'!K10</f>
        <v>190 m (Bc)</v>
      </c>
      <c r="G4" s="729"/>
      <c r="H4" s="3"/>
      <c r="J4" s="8" t="s">
        <v>2</v>
      </c>
      <c r="K4" s="91">
        <v>30</v>
      </c>
      <c r="L4" s="96" t="str">
        <f>CONCATENATE(K4,"⁰")</f>
        <v>30⁰</v>
      </c>
      <c r="M4" s="97" t="str">
        <f>CONCATENATE(K3,"⁰ - ",K3+K4,"⁰")</f>
        <v>163⁰ - 193⁰</v>
      </c>
    </row>
    <row r="5" spans="1:13" ht="42" customHeight="1">
      <c r="A5" s="3"/>
      <c r="B5" s="5"/>
      <c r="C5" s="6"/>
      <c r="D5" s="6"/>
      <c r="E5" s="22"/>
      <c r="F5" s="11"/>
      <c r="G5" s="7"/>
      <c r="H5" s="3"/>
      <c r="J5" s="8" t="s">
        <v>3</v>
      </c>
      <c r="K5" s="91">
        <v>0</v>
      </c>
      <c r="L5" s="721" t="str">
        <f>IF(K3+K4+K5+K6&gt;360,"Error in values !","")</f>
        <v/>
      </c>
      <c r="M5" s="722"/>
    </row>
    <row r="6" spans="1:13" ht="42" customHeight="1" thickBot="1">
      <c r="A6" s="3"/>
      <c r="B6" s="5"/>
      <c r="C6" s="6"/>
      <c r="D6" s="6"/>
      <c r="E6" s="22"/>
      <c r="F6" s="12"/>
      <c r="G6" s="7"/>
      <c r="H6" s="3"/>
      <c r="J6" s="8" t="s">
        <v>4</v>
      </c>
      <c r="K6" s="92">
        <v>0</v>
      </c>
      <c r="L6" s="96" t="str">
        <f>IF(K6=0,"",CONCATENATE(K6,"⁰"))</f>
        <v/>
      </c>
      <c r="M6" s="97" t="str">
        <f>IF(K6=0,"",CONCATENATE(K5+K4+K3,"⁰ - ",K5+K6+K4+K3,"⁰"))</f>
        <v/>
      </c>
    </row>
    <row r="7" spans="1:13" ht="42" customHeight="1">
      <c r="A7" s="3"/>
      <c r="B7" s="5"/>
      <c r="C7" s="6"/>
      <c r="D7" s="6"/>
      <c r="E7" s="22"/>
      <c r="F7" s="12"/>
      <c r="G7" s="7"/>
      <c r="H7" s="3"/>
      <c r="J7" s="10"/>
      <c r="K7" s="94">
        <f>360-K3-K4-K5-K6</f>
        <v>167</v>
      </c>
      <c r="L7" s="9"/>
      <c r="M7" s="10"/>
    </row>
    <row r="8" spans="1:13" ht="36" customHeight="1" thickBot="1">
      <c r="A8" s="3"/>
      <c r="B8" s="5"/>
      <c r="C8" s="6"/>
      <c r="D8" s="6"/>
      <c r="E8" s="22"/>
      <c r="F8" s="12"/>
      <c r="G8" s="7"/>
      <c r="H8" s="3"/>
      <c r="J8" s="10"/>
      <c r="K8" s="95">
        <f>SUM(K3:K7)</f>
        <v>360</v>
      </c>
      <c r="L8" s="9"/>
      <c r="M8" s="10"/>
    </row>
    <row r="9" spans="1:13" ht="42" customHeight="1" thickBot="1">
      <c r="A9" s="3"/>
      <c r="B9" s="5"/>
      <c r="C9" s="18" t="s">
        <v>0</v>
      </c>
      <c r="D9" s="19"/>
      <c r="E9" s="23"/>
      <c r="F9" s="20"/>
      <c r="G9" s="7"/>
      <c r="H9" s="3"/>
      <c r="J9" s="8" t="s">
        <v>115</v>
      </c>
      <c r="K9" s="93" t="s">
        <v>9</v>
      </c>
      <c r="L9" s="10"/>
      <c r="M9" s="10"/>
    </row>
    <row r="10" spans="1:13" ht="42" customHeight="1" thickBot="1">
      <c r="A10" s="3"/>
      <c r="B10" s="5"/>
      <c r="C10" s="6"/>
      <c r="D10" s="6"/>
      <c r="E10" s="22"/>
      <c r="F10" s="6"/>
      <c r="G10" s="7"/>
      <c r="H10" s="3"/>
      <c r="J10" s="8" t="s">
        <v>114</v>
      </c>
      <c r="K10" s="93" t="s">
        <v>10</v>
      </c>
    </row>
    <row r="11" spans="1:13" ht="42" customHeight="1" thickBot="1">
      <c r="A11" s="3"/>
      <c r="B11" s="5"/>
      <c r="C11" s="6"/>
      <c r="D11" s="6"/>
      <c r="E11" s="22"/>
      <c r="F11" s="6"/>
      <c r="G11" s="7"/>
      <c r="H11" s="3"/>
      <c r="J11" s="8" t="s">
        <v>5</v>
      </c>
      <c r="K11" s="723" t="s">
        <v>427</v>
      </c>
      <c r="L11" s="724"/>
      <c r="M11" s="725"/>
    </row>
    <row r="12" spans="1:13" ht="42" customHeight="1" thickBot="1">
      <c r="A12" s="3"/>
      <c r="B12" s="5"/>
      <c r="C12" s="6"/>
      <c r="D12" s="6"/>
      <c r="E12" s="22"/>
      <c r="F12" s="6"/>
      <c r="G12" s="7"/>
      <c r="H12" s="3"/>
      <c r="J12" s="8" t="s">
        <v>6</v>
      </c>
      <c r="K12" s="723" t="s">
        <v>8</v>
      </c>
      <c r="L12" s="724"/>
      <c r="M12" s="725"/>
    </row>
    <row r="13" spans="1:13" ht="42" customHeight="1">
      <c r="A13" s="3"/>
      <c r="B13" s="5"/>
      <c r="C13" s="6"/>
      <c r="D13" s="6"/>
      <c r="E13" s="22"/>
      <c r="F13" s="6"/>
      <c r="G13" s="7"/>
      <c r="H13" s="3"/>
    </row>
    <row r="14" spans="1:13" ht="42" customHeight="1">
      <c r="A14" s="3"/>
      <c r="B14" s="5"/>
      <c r="C14" s="6"/>
      <c r="D14" s="6"/>
      <c r="E14" s="22"/>
      <c r="F14" s="6"/>
      <c r="G14" s="7"/>
      <c r="H14" s="3"/>
    </row>
    <row r="15" spans="1:13" ht="20.25" customHeight="1" thickBot="1">
      <c r="A15" s="3"/>
      <c r="B15" s="13"/>
      <c r="C15" s="14"/>
      <c r="D15" s="14"/>
      <c r="E15" s="14"/>
      <c r="F15" s="14"/>
      <c r="G15" s="15"/>
      <c r="H15" s="3"/>
    </row>
    <row r="16" spans="1:13" ht="15" customHeight="1" thickTop="1">
      <c r="A16" s="3"/>
      <c r="B16" s="3"/>
      <c r="C16" s="3"/>
      <c r="D16" s="3"/>
      <c r="E16" s="3"/>
      <c r="F16" s="3"/>
      <c r="G16" s="3"/>
      <c r="H16" s="3"/>
    </row>
  </sheetData>
  <sheetProtection sheet="1" objects="1" scenarios="1"/>
  <mergeCells count="6">
    <mergeCell ref="L5:M5"/>
    <mergeCell ref="K11:M11"/>
    <mergeCell ref="K12:M12"/>
    <mergeCell ref="D2:G2"/>
    <mergeCell ref="F4:G4"/>
    <mergeCell ref="F3:G3"/>
  </mergeCells>
  <phoneticPr fontId="8" type="noConversion"/>
  <pageMargins left="0.19685039370078741" right="0.19685039370078741" top="0.19685039370078741" bottom="0.19685039370078741" header="0" footer="0"/>
  <pageSetup paperSize="9" scale="6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indexed="43"/>
  </sheetPr>
  <dimension ref="A1:M16"/>
  <sheetViews>
    <sheetView showGridLines="0" showRowColHeaders="0" zoomScale="70" zoomScaleNormal="70" workbookViewId="0">
      <selection activeCell="K12" sqref="K12:M12"/>
    </sheetView>
  </sheetViews>
  <sheetFormatPr defaultRowHeight="12.75"/>
  <cols>
    <col min="1" max="1" width="2.85546875" style="2" customWidth="1"/>
    <col min="2" max="2" width="5.7109375" style="2" customWidth="1"/>
    <col min="3" max="4" width="23.5703125" style="2" customWidth="1"/>
    <col min="5" max="6" width="23.42578125" style="2" customWidth="1"/>
    <col min="7" max="7" width="5.7109375" style="2" customWidth="1"/>
    <col min="8" max="8" width="2.85546875" style="2" customWidth="1"/>
    <col min="9" max="9" width="3.7109375" style="2" customWidth="1"/>
    <col min="10" max="10" width="22.7109375" style="2" customWidth="1"/>
    <col min="11" max="12" width="11.85546875" style="2" customWidth="1"/>
    <col min="13" max="13" width="13.28515625" style="2" customWidth="1"/>
    <col min="14" max="16384" width="9.140625" style="2"/>
  </cols>
  <sheetData>
    <row r="1" spans="1:13" ht="15" customHeight="1" thickBot="1">
      <c r="A1" s="1"/>
      <c r="B1" s="1"/>
      <c r="C1" s="1"/>
      <c r="D1" s="17"/>
      <c r="E1" s="17"/>
      <c r="F1" s="17"/>
      <c r="G1" s="1"/>
      <c r="H1" s="1"/>
    </row>
    <row r="2" spans="1:13" ht="39.75" customHeight="1" thickTop="1" thickBot="1">
      <c r="A2" s="3"/>
      <c r="B2" s="4"/>
      <c r="C2" s="25" t="str">
        <f>K11</f>
        <v>m/v Name</v>
      </c>
      <c r="D2" s="726" t="str">
        <f>CONCATENATE("Shadow sectors of ''",K12,"''")</f>
        <v>Shadow sectors of ''Furuno S-Band radar''</v>
      </c>
      <c r="E2" s="726"/>
      <c r="F2" s="726"/>
      <c r="G2" s="727"/>
      <c r="H2" s="3"/>
    </row>
    <row r="3" spans="1:13" ht="42" customHeight="1">
      <c r="A3" s="3"/>
      <c r="B3" s="5"/>
      <c r="C3" s="16"/>
      <c r="D3" s="24" t="s">
        <v>7</v>
      </c>
      <c r="E3" s="21"/>
      <c r="F3" s="730" t="str">
        <f>'RADAR 2'!K9</f>
        <v>140 m (Lc)</v>
      </c>
      <c r="G3" s="731"/>
      <c r="H3" s="3"/>
      <c r="J3" s="8" t="s">
        <v>1</v>
      </c>
      <c r="K3" s="90">
        <v>164</v>
      </c>
      <c r="L3" s="9"/>
      <c r="M3" s="10"/>
    </row>
    <row r="4" spans="1:13" ht="42" customHeight="1">
      <c r="A4" s="3"/>
      <c r="B4" s="5"/>
      <c r="C4" s="6"/>
      <c r="D4" s="6"/>
      <c r="E4" s="22"/>
      <c r="F4" s="728" t="str">
        <f>'RADAR 2'!K10</f>
        <v>180 m (Bc)</v>
      </c>
      <c r="G4" s="729"/>
      <c r="H4" s="3"/>
      <c r="J4" s="8" t="s">
        <v>2</v>
      </c>
      <c r="K4" s="91">
        <v>16</v>
      </c>
      <c r="L4" s="96" t="str">
        <f>CONCATENATE(K4,"⁰")</f>
        <v>16⁰</v>
      </c>
      <c r="M4" s="97" t="str">
        <f>CONCATENATE(K3,"⁰ - ",K3+K4,"⁰")</f>
        <v>164⁰ - 180⁰</v>
      </c>
    </row>
    <row r="5" spans="1:13" ht="42" customHeight="1">
      <c r="A5" s="3"/>
      <c r="B5" s="5"/>
      <c r="C5" s="6"/>
      <c r="D5" s="6"/>
      <c r="E5" s="22"/>
      <c r="F5" s="11"/>
      <c r="G5" s="7"/>
      <c r="H5" s="3"/>
      <c r="J5" s="8" t="s">
        <v>3</v>
      </c>
      <c r="K5" s="91">
        <v>0</v>
      </c>
      <c r="L5" s="721" t="str">
        <f>IF(K3+K4+K5+K6&gt;360,"Error in values !","")</f>
        <v/>
      </c>
      <c r="M5" s="722"/>
    </row>
    <row r="6" spans="1:13" ht="42" customHeight="1" thickBot="1">
      <c r="A6" s="3"/>
      <c r="B6" s="5"/>
      <c r="C6" s="6"/>
      <c r="D6" s="6"/>
      <c r="E6" s="22"/>
      <c r="F6" s="12"/>
      <c r="G6" s="7"/>
      <c r="H6" s="3"/>
      <c r="J6" s="8" t="s">
        <v>4</v>
      </c>
      <c r="K6" s="92">
        <v>0</v>
      </c>
      <c r="L6" s="96" t="str">
        <f>IF(K6=0,"",CONCATENATE(K6,"⁰"))</f>
        <v/>
      </c>
      <c r="M6" s="97" t="str">
        <f>IF(K6=0,"",CONCATENATE(K5+K4+K3,"⁰ - ",K5+K6+K4+K3,"⁰"))</f>
        <v/>
      </c>
    </row>
    <row r="7" spans="1:13" ht="42" customHeight="1">
      <c r="A7" s="3"/>
      <c r="B7" s="5"/>
      <c r="C7" s="6"/>
      <c r="D7" s="6"/>
      <c r="E7" s="22"/>
      <c r="F7" s="12"/>
      <c r="G7" s="7"/>
      <c r="H7" s="3"/>
      <c r="J7" s="10"/>
      <c r="K7" s="94">
        <f>360-K3-K4-K5-K6</f>
        <v>180</v>
      </c>
      <c r="L7" s="9"/>
      <c r="M7" s="10"/>
    </row>
    <row r="8" spans="1:13" ht="36" customHeight="1" thickBot="1">
      <c r="A8" s="3"/>
      <c r="B8" s="5"/>
      <c r="C8" s="6"/>
      <c r="D8" s="6"/>
      <c r="E8" s="22"/>
      <c r="F8" s="12"/>
      <c r="G8" s="7"/>
      <c r="H8" s="3"/>
      <c r="J8" s="10"/>
      <c r="K8" s="95">
        <f>SUM(K3:K7)</f>
        <v>360</v>
      </c>
      <c r="L8" s="9"/>
      <c r="M8" s="10"/>
    </row>
    <row r="9" spans="1:13" ht="42" customHeight="1" thickBot="1">
      <c r="A9" s="3"/>
      <c r="B9" s="5"/>
      <c r="C9" s="18" t="s">
        <v>0</v>
      </c>
      <c r="D9" s="19"/>
      <c r="E9" s="23"/>
      <c r="F9" s="20"/>
      <c r="G9" s="7"/>
      <c r="H9" s="3"/>
      <c r="J9" s="8" t="s">
        <v>115</v>
      </c>
      <c r="K9" s="93" t="s">
        <v>13</v>
      </c>
      <c r="L9" s="10"/>
      <c r="M9" s="10"/>
    </row>
    <row r="10" spans="1:13" ht="42" customHeight="1" thickBot="1">
      <c r="A10" s="3"/>
      <c r="B10" s="5"/>
      <c r="C10" s="6"/>
      <c r="D10" s="6"/>
      <c r="E10" s="22"/>
      <c r="F10" s="6"/>
      <c r="G10" s="7"/>
      <c r="H10" s="3"/>
      <c r="J10" s="8" t="s">
        <v>114</v>
      </c>
      <c r="K10" s="93" t="s">
        <v>12</v>
      </c>
    </row>
    <row r="11" spans="1:13" ht="42" customHeight="1" thickBot="1">
      <c r="A11" s="3"/>
      <c r="B11" s="5"/>
      <c r="C11" s="6"/>
      <c r="D11" s="6"/>
      <c r="E11" s="22"/>
      <c r="F11" s="6"/>
      <c r="G11" s="7"/>
      <c r="H11" s="3"/>
      <c r="J11" s="8" t="s">
        <v>5</v>
      </c>
      <c r="K11" s="723" t="s">
        <v>427</v>
      </c>
      <c r="L11" s="724"/>
      <c r="M11" s="725"/>
    </row>
    <row r="12" spans="1:13" ht="42" customHeight="1" thickBot="1">
      <c r="A12" s="3"/>
      <c r="B12" s="5"/>
      <c r="C12" s="6"/>
      <c r="D12" s="6"/>
      <c r="E12" s="22"/>
      <c r="F12" s="6"/>
      <c r="G12" s="7"/>
      <c r="H12" s="3"/>
      <c r="J12" s="8" t="s">
        <v>6</v>
      </c>
      <c r="K12" s="723" t="s">
        <v>11</v>
      </c>
      <c r="L12" s="724"/>
      <c r="M12" s="725"/>
    </row>
    <row r="13" spans="1:13" ht="42" customHeight="1">
      <c r="A13" s="3"/>
      <c r="B13" s="5"/>
      <c r="C13" s="6"/>
      <c r="D13" s="6"/>
      <c r="E13" s="22"/>
      <c r="F13" s="6"/>
      <c r="G13" s="7"/>
      <c r="H13" s="3"/>
    </row>
    <row r="14" spans="1:13" ht="42" customHeight="1">
      <c r="A14" s="3"/>
      <c r="B14" s="5"/>
      <c r="C14" s="6"/>
      <c r="D14" s="6"/>
      <c r="E14" s="22"/>
      <c r="F14" s="6"/>
      <c r="G14" s="7"/>
      <c r="H14" s="3"/>
    </row>
    <row r="15" spans="1:13" ht="20.25" customHeight="1" thickBot="1">
      <c r="A15" s="3"/>
      <c r="B15" s="13"/>
      <c r="C15" s="14"/>
      <c r="D15" s="14"/>
      <c r="E15" s="14"/>
      <c r="F15" s="14"/>
      <c r="G15" s="15"/>
      <c r="H15" s="3"/>
    </row>
    <row r="16" spans="1:13" ht="15" customHeight="1" thickTop="1">
      <c r="A16" s="3"/>
      <c r="B16" s="3"/>
      <c r="C16" s="3"/>
      <c r="D16" s="3"/>
      <c r="E16" s="3"/>
      <c r="F16" s="3"/>
      <c r="G16" s="3"/>
      <c r="H16" s="3"/>
    </row>
  </sheetData>
  <sheetProtection sheet="1" objects="1" scenarios="1"/>
  <mergeCells count="6">
    <mergeCell ref="K12:M12"/>
    <mergeCell ref="D2:G2"/>
    <mergeCell ref="F3:G3"/>
    <mergeCell ref="F4:G4"/>
    <mergeCell ref="L5:M5"/>
    <mergeCell ref="K11:M11"/>
  </mergeCells>
  <pageMargins left="0.19685039370078741" right="0.19685039370078741" top="0.19685039370078741" bottom="0.19685039370078741" header="0" footer="0"/>
  <pageSetup paperSize="9" scale="6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theme="1"/>
  </sheetPr>
  <dimension ref="A1:N45"/>
  <sheetViews>
    <sheetView topLeftCell="D1" workbookViewId="0">
      <selection activeCell="K14" sqref="K14"/>
    </sheetView>
  </sheetViews>
  <sheetFormatPr defaultColWidth="14.42578125" defaultRowHeight="15" customHeight="1"/>
  <cols>
    <col min="1" max="1" width="7.140625" style="27" customWidth="1"/>
    <col min="2" max="3" width="12.140625" style="27" customWidth="1"/>
    <col min="4" max="5" width="5.140625" style="27" customWidth="1"/>
    <col min="6" max="6" width="17" style="27" customWidth="1"/>
    <col min="7" max="7" width="7.5703125" style="27" customWidth="1"/>
    <col min="8" max="8" width="14.42578125" style="27" customWidth="1"/>
    <col min="9" max="9" width="35.28515625" style="27" customWidth="1"/>
    <col min="10" max="10" width="7.42578125" style="27" customWidth="1"/>
    <col min="11" max="14" width="8" style="27" customWidth="1"/>
    <col min="15" max="16384" width="14.42578125" style="27"/>
  </cols>
  <sheetData>
    <row r="1" spans="1:14" ht="14.25" customHeight="1">
      <c r="B1" s="50">
        <v>0</v>
      </c>
      <c r="C1" s="48" t="s">
        <v>33</v>
      </c>
      <c r="D1" s="52">
        <v>0</v>
      </c>
      <c r="E1" s="51">
        <v>0</v>
      </c>
      <c r="F1" s="34" t="s">
        <v>32</v>
      </c>
      <c r="G1" s="43" t="s">
        <v>28</v>
      </c>
      <c r="H1" s="44"/>
      <c r="I1" s="43" t="s">
        <v>29</v>
      </c>
    </row>
    <row r="2" spans="1:14" ht="14.25" customHeight="1">
      <c r="A2" s="32"/>
      <c r="B2" s="48">
        <v>5.625</v>
      </c>
      <c r="C2" s="48" t="s">
        <v>36</v>
      </c>
      <c r="D2" s="41">
        <v>0.3</v>
      </c>
      <c r="E2" s="39">
        <v>1</v>
      </c>
      <c r="F2" s="36" t="s">
        <v>34</v>
      </c>
      <c r="G2" s="35">
        <v>0</v>
      </c>
      <c r="H2" s="32" t="s">
        <v>32</v>
      </c>
      <c r="I2" s="45" t="s">
        <v>58</v>
      </c>
      <c r="K2" s="337">
        <f>SUM(L3:L8)</f>
        <v>35</v>
      </c>
      <c r="L2" s="485" t="s">
        <v>233</v>
      </c>
      <c r="M2" s="485"/>
      <c r="N2" s="486"/>
    </row>
    <row r="3" spans="1:14" ht="14.25" customHeight="1">
      <c r="A3" s="32"/>
      <c r="B3" s="48">
        <f t="shared" ref="B3:B17" si="0">B2+22.5</f>
        <v>28.125</v>
      </c>
      <c r="C3" s="48" t="s">
        <v>38</v>
      </c>
      <c r="D3" s="41">
        <v>1.5</v>
      </c>
      <c r="E3" s="39">
        <v>2</v>
      </c>
      <c r="F3" s="36" t="s">
        <v>35</v>
      </c>
      <c r="G3" s="35">
        <f t="shared" ref="G3:G11" si="1">G2+1</f>
        <v>1</v>
      </c>
      <c r="H3" s="33" t="s">
        <v>60</v>
      </c>
      <c r="I3" s="45" t="s">
        <v>61</v>
      </c>
      <c r="K3" s="325" t="b">
        <f>IF('Stowage factors'!$V$6='Stowage factors'!U8,TRUE,FALSE)</f>
        <v>1</v>
      </c>
      <c r="L3" s="326">
        <f>IF(K3,'Stowage factors'!$U$6,0)</f>
        <v>35</v>
      </c>
      <c r="M3" s="327"/>
      <c r="N3" s="328">
        <f>K2</f>
        <v>35</v>
      </c>
    </row>
    <row r="4" spans="1:14" ht="14.25" customHeight="1">
      <c r="A4" s="32"/>
      <c r="B4" s="48">
        <f t="shared" si="0"/>
        <v>50.625</v>
      </c>
      <c r="C4" s="48" t="s">
        <v>40</v>
      </c>
      <c r="D4" s="41">
        <v>3.3</v>
      </c>
      <c r="E4" s="39">
        <v>3</v>
      </c>
      <c r="F4" s="36" t="s">
        <v>37</v>
      </c>
      <c r="G4" s="35">
        <f t="shared" si="1"/>
        <v>2</v>
      </c>
      <c r="H4" s="33" t="s">
        <v>63</v>
      </c>
      <c r="I4" s="45" t="s">
        <v>64</v>
      </c>
      <c r="K4" s="331" t="b">
        <f>IF('Stowage factors'!$V$6='Stowage factors'!U13,TRUE,FALSE)</f>
        <v>0</v>
      </c>
      <c r="L4" s="332">
        <f>IF(K4,1/'Stowage factors'!$U$6/M6,0)</f>
        <v>0</v>
      </c>
      <c r="M4" s="332"/>
      <c r="N4" s="335">
        <f>1/$K$2/M6</f>
        <v>1.0251678712389154</v>
      </c>
    </row>
    <row r="5" spans="1:14" ht="14.25" customHeight="1">
      <c r="A5" s="32"/>
      <c r="B5" s="48">
        <f t="shared" si="0"/>
        <v>73.125</v>
      </c>
      <c r="C5" s="48" t="s">
        <v>42</v>
      </c>
      <c r="D5" s="41">
        <v>5.4</v>
      </c>
      <c r="E5" s="39">
        <v>4</v>
      </c>
      <c r="F5" s="36" t="s">
        <v>39</v>
      </c>
      <c r="G5" s="35">
        <f t="shared" si="1"/>
        <v>3</v>
      </c>
      <c r="H5" s="33" t="s">
        <v>66</v>
      </c>
      <c r="I5" s="45" t="s">
        <v>67</v>
      </c>
      <c r="K5" s="325" t="b">
        <f>IF('Stowage factors'!$V$6='Stowage factors'!U9,TRUE,FALSE)</f>
        <v>0</v>
      </c>
      <c r="L5" s="326">
        <f>IF(K5,'Stowage factors'!$U$6/M5,0)</f>
        <v>0</v>
      </c>
      <c r="M5" s="326">
        <v>0.98419999999999996</v>
      </c>
      <c r="N5" s="328">
        <f>$K$2*M5</f>
        <v>34.446999999999996</v>
      </c>
    </row>
    <row r="6" spans="1:14" ht="14.25" customHeight="1">
      <c r="A6" s="32"/>
      <c r="B6" s="48">
        <f t="shared" si="0"/>
        <v>95.625</v>
      </c>
      <c r="C6" s="48" t="s">
        <v>44</v>
      </c>
      <c r="D6" s="41">
        <v>7.9</v>
      </c>
      <c r="E6" s="39">
        <v>5</v>
      </c>
      <c r="F6" s="36" t="s">
        <v>41</v>
      </c>
      <c r="G6" s="35">
        <f t="shared" si="1"/>
        <v>4</v>
      </c>
      <c r="H6" s="33" t="s">
        <v>69</v>
      </c>
      <c r="I6" s="45" t="s">
        <v>70</v>
      </c>
      <c r="K6" s="325" t="b">
        <f>IF('Stowage factors'!$V$6='Stowage factors'!U10,TRUE,FALSE)</f>
        <v>0</v>
      </c>
      <c r="L6" s="326">
        <f>IF(K6,'Stowage factors'!$U$6/M6,0)</f>
        <v>0</v>
      </c>
      <c r="M6" s="326">
        <v>2.7869999999999999E-2</v>
      </c>
      <c r="N6" s="328">
        <f>$K$2*M6</f>
        <v>0.97544999999999993</v>
      </c>
    </row>
    <row r="7" spans="1:14" ht="14.25" customHeight="1">
      <c r="A7" s="32"/>
      <c r="B7" s="48">
        <f t="shared" si="0"/>
        <v>118.125</v>
      </c>
      <c r="C7" s="48" t="s">
        <v>46</v>
      </c>
      <c r="D7" s="41">
        <v>10.7</v>
      </c>
      <c r="E7" s="39">
        <v>6</v>
      </c>
      <c r="F7" s="36" t="s">
        <v>43</v>
      </c>
      <c r="G7" s="35">
        <f t="shared" si="1"/>
        <v>5</v>
      </c>
      <c r="H7" s="33" t="s">
        <v>71</v>
      </c>
      <c r="I7" s="45" t="s">
        <v>72</v>
      </c>
      <c r="K7" s="325" t="b">
        <f>IF('Stowage factors'!$V$6='Stowage factors'!U11,TRUE,FALSE)</f>
        <v>0</v>
      </c>
      <c r="L7" s="326">
        <f>IF(K7,'Stowage factors'!$U$6/M7,0)</f>
        <v>0</v>
      </c>
      <c r="M7" s="326">
        <v>2.8316999999999998E-2</v>
      </c>
      <c r="N7" s="328">
        <f>$K$2*M7</f>
        <v>0.99109499999999995</v>
      </c>
    </row>
    <row r="8" spans="1:14" ht="14.25" customHeight="1">
      <c r="A8" s="32"/>
      <c r="B8" s="48">
        <f t="shared" si="0"/>
        <v>140.625</v>
      </c>
      <c r="C8" s="48" t="s">
        <v>48</v>
      </c>
      <c r="D8" s="41">
        <v>13.8</v>
      </c>
      <c r="E8" s="39">
        <v>7</v>
      </c>
      <c r="F8" s="36" t="s">
        <v>45</v>
      </c>
      <c r="G8" s="35">
        <f t="shared" si="1"/>
        <v>6</v>
      </c>
      <c r="H8" s="33" t="s">
        <v>73</v>
      </c>
      <c r="I8" s="45" t="s">
        <v>74</v>
      </c>
      <c r="K8" s="330" t="b">
        <f>IF('Stowage factors'!$V$6='Stowage factors'!U14,TRUE,FALSE)</f>
        <v>0</v>
      </c>
      <c r="L8" s="334">
        <f>IF(K8,1/'Stowage factors'!$U$6/M7,0)</f>
        <v>0</v>
      </c>
      <c r="M8" s="334"/>
      <c r="N8" s="333">
        <f>1/$K$2/M7</f>
        <v>1.0089850115276537</v>
      </c>
    </row>
    <row r="9" spans="1:14" ht="14.25" customHeight="1" thickBot="1">
      <c r="A9" s="32"/>
      <c r="B9" s="48">
        <f t="shared" si="0"/>
        <v>163.125</v>
      </c>
      <c r="C9" s="48" t="s">
        <v>50</v>
      </c>
      <c r="D9" s="41">
        <v>17.100000000000001</v>
      </c>
      <c r="E9" s="39">
        <v>8</v>
      </c>
      <c r="F9" s="36" t="s">
        <v>47</v>
      </c>
      <c r="G9" s="35">
        <f t="shared" si="1"/>
        <v>7</v>
      </c>
      <c r="H9" s="33" t="s">
        <v>75</v>
      </c>
      <c r="I9" s="45" t="s">
        <v>76</v>
      </c>
      <c r="M9" s="336"/>
    </row>
    <row r="10" spans="1:14" ht="17.25" customHeight="1" thickBot="1">
      <c r="A10" s="32"/>
      <c r="B10" s="48">
        <f t="shared" si="0"/>
        <v>185.625</v>
      </c>
      <c r="C10" s="48" t="s">
        <v>52</v>
      </c>
      <c r="D10" s="41">
        <v>20.7</v>
      </c>
      <c r="E10" s="39">
        <v>9</v>
      </c>
      <c r="F10" s="36" t="s">
        <v>49</v>
      </c>
      <c r="G10" s="35">
        <f t="shared" si="1"/>
        <v>8</v>
      </c>
      <c r="H10" s="33" t="s">
        <v>77</v>
      </c>
      <c r="I10" s="45" t="s">
        <v>78</v>
      </c>
      <c r="K10" t="s">
        <v>415</v>
      </c>
      <c r="L10" s="444" t="s">
        <v>409</v>
      </c>
      <c r="M10" s="446" t="s">
        <v>413</v>
      </c>
    </row>
    <row r="11" spans="1:14" ht="14.25" customHeight="1">
      <c r="A11" s="32"/>
      <c r="B11" s="48">
        <f t="shared" si="0"/>
        <v>208.125</v>
      </c>
      <c r="C11" s="48" t="s">
        <v>54</v>
      </c>
      <c r="D11" s="41">
        <v>24.2</v>
      </c>
      <c r="E11" s="39">
        <v>10</v>
      </c>
      <c r="F11" s="36" t="s">
        <v>51</v>
      </c>
      <c r="G11" s="37">
        <f t="shared" si="1"/>
        <v>9</v>
      </c>
      <c r="H11" s="46" t="s">
        <v>79</v>
      </c>
      <c r="I11" s="47" t="s">
        <v>80</v>
      </c>
      <c r="K11" s="443" t="str">
        <f>LEFT(Tools!E47,3)</f>
        <v>039</v>
      </c>
      <c r="L11" s="443">
        <f>RIGHT(Tools!E47,4)*100/60/100</f>
        <v>0.29166666666666669</v>
      </c>
      <c r="M11" s="445">
        <f>IF(Tools!F47="W",(K11+L11)*-1,K11+L11)</f>
        <v>-39.291666666666664</v>
      </c>
    </row>
    <row r="12" spans="1:14" ht="14.25" customHeight="1">
      <c r="A12" s="32"/>
      <c r="B12" s="48">
        <f t="shared" si="0"/>
        <v>230.625</v>
      </c>
      <c r="C12" s="48" t="s">
        <v>56</v>
      </c>
      <c r="D12" s="41">
        <v>28.4</v>
      </c>
      <c r="E12" s="39">
        <v>11</v>
      </c>
      <c r="F12" s="36" t="s">
        <v>53</v>
      </c>
      <c r="G12" s="32"/>
      <c r="H12" s="32"/>
      <c r="I12" s="32"/>
      <c r="K12" s="443" t="str">
        <f>LEFT(Tools!E46,2)</f>
        <v>06</v>
      </c>
      <c r="L12" s="443">
        <f>RIGHT(Tools!E46,4)*100/60/100</f>
        <v>0.83</v>
      </c>
      <c r="M12" s="443">
        <f>IF(Tools!F46="S",(K12+L12)*-1,K12+L12)</f>
        <v>6.83</v>
      </c>
    </row>
    <row r="13" spans="1:14" ht="14.25" customHeight="1">
      <c r="A13" s="32"/>
      <c r="B13" s="48">
        <f t="shared" si="0"/>
        <v>253.125</v>
      </c>
      <c r="C13" s="48" t="s">
        <v>57</v>
      </c>
      <c r="D13" s="42">
        <v>32.6</v>
      </c>
      <c r="E13" s="40">
        <v>12</v>
      </c>
      <c r="F13" s="38" t="s">
        <v>55</v>
      </c>
      <c r="G13" s="32"/>
      <c r="H13" s="32"/>
      <c r="I13" s="32"/>
    </row>
    <row r="14" spans="1:14" ht="14.25" customHeight="1">
      <c r="A14" s="32"/>
      <c r="B14" s="48">
        <f t="shared" si="0"/>
        <v>275.625</v>
      </c>
      <c r="C14" s="48" t="s">
        <v>59</v>
      </c>
      <c r="D14" s="32"/>
      <c r="E14" s="32"/>
      <c r="F14" s="32"/>
      <c r="G14" s="32"/>
      <c r="H14" s="32"/>
      <c r="I14" s="32"/>
    </row>
    <row r="15" spans="1:14" ht="14.25" customHeight="1">
      <c r="A15" s="32"/>
      <c r="B15" s="48">
        <f t="shared" si="0"/>
        <v>298.125</v>
      </c>
      <c r="C15" s="48" t="s">
        <v>62</v>
      </c>
      <c r="D15" s="32"/>
      <c r="E15" s="32"/>
      <c r="F15" s="32">
        <f>DEGREES(ACOS((Wind!E20^2+Wind!E21^2-Wind!E19^2)/2/Wind!E20/Wind!E21))</f>
        <v>23.735420192015816</v>
      </c>
      <c r="G15" s="32">
        <f>DEGREES(ACOS((Wind!E13^2+Wind!E14^2-Wind!E12^2)/2/Wind!E13/Wind!E14))</f>
        <v>9.1616626316844147</v>
      </c>
      <c r="H15" s="32">
        <f>DEGREES(ACOS((Wind!E4^2+Wind!E5^2-Wind!E3^2)/2/Wind!E4/Wind!E5))</f>
        <v>103.91643777188482</v>
      </c>
      <c r="I15" s="32"/>
    </row>
    <row r="16" spans="1:14" ht="14.25" customHeight="1">
      <c r="A16" s="32"/>
      <c r="B16" s="48">
        <f t="shared" si="0"/>
        <v>320.625</v>
      </c>
      <c r="C16" s="48" t="s">
        <v>65</v>
      </c>
      <c r="D16" s="32"/>
      <c r="E16" s="32"/>
      <c r="F16" s="32">
        <f>IF(Wind!C20-Wind!C19&gt;0,1,-1)</f>
        <v>1</v>
      </c>
      <c r="G16" s="32">
        <f>IF(Wind!C13-Wind!C12&gt;0,1,-1)</f>
        <v>1</v>
      </c>
      <c r="H16" s="32">
        <f>IF(Wind!C4&gt;0,-1,1)</f>
        <v>-1</v>
      </c>
      <c r="I16" s="32"/>
    </row>
    <row r="17" spans="1:11" ht="14.25" customHeight="1">
      <c r="A17" s="32"/>
      <c r="B17" s="48">
        <f t="shared" si="0"/>
        <v>343.125</v>
      </c>
      <c r="C17" s="48" t="s">
        <v>68</v>
      </c>
      <c r="D17" s="49"/>
      <c r="E17" s="49"/>
      <c r="F17" s="170">
        <f>ROUND(Wind!C20-F15*F16,0)</f>
        <v>317</v>
      </c>
      <c r="G17" s="32">
        <f>ROUND(Wind!C13+G15*G16,0)</f>
        <v>216</v>
      </c>
      <c r="H17" s="32">
        <f>ROUND(Wind!C3+Wind!C4-H15*H16,0)</f>
        <v>134</v>
      </c>
      <c r="I17" s="32"/>
    </row>
    <row r="18" spans="1:11" ht="14.25" customHeight="1">
      <c r="A18" s="31"/>
      <c r="B18" s="31"/>
      <c r="C18" s="31"/>
      <c r="D18" s="31"/>
      <c r="E18" s="31"/>
      <c r="F18" s="32">
        <f>IF(F17&gt;360,F17-360,F17)</f>
        <v>317</v>
      </c>
      <c r="G18" s="32">
        <f>IF(G17&gt;360,G17-360,G17)</f>
        <v>216</v>
      </c>
      <c r="H18" s="32">
        <f>IF(H17&gt;360,H17-360,H17)</f>
        <v>134</v>
      </c>
      <c r="I18" s="31"/>
      <c r="J18" s="31"/>
      <c r="K18" s="31"/>
    </row>
    <row r="19" spans="1:11" ht="14.25" customHeigh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ht="14.25" customHeigh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1" ht="14.25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14.25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1" ht="14.25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14.2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14.25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14.2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14.2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 ht="14.2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ht="14.2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ht="14.2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 ht="14.2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11" ht="14.2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ht="14.2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4.2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1" ht="14.25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11" ht="14.2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1:11" ht="14.25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1" ht="14.2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ht="14.2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11" ht="14.2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1" ht="14.2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1:11" ht="14.2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1:11" ht="14.2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11" ht="14.2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ht="14.2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</sheetData>
  <mergeCells count="1">
    <mergeCell ref="L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B1:AB81"/>
  <sheetViews>
    <sheetView showGridLines="0" showRowColHeaders="0" showRuler="0" showWhiteSpace="0" zoomScaleNormal="100" zoomScalePageLayoutView="85" workbookViewId="0">
      <selection activeCell="J16" sqref="J16:L16"/>
    </sheetView>
  </sheetViews>
  <sheetFormatPr defaultColWidth="14.42578125" defaultRowHeight="15" customHeight="1"/>
  <cols>
    <col min="1" max="1" width="3" style="27" customWidth="1"/>
    <col min="2" max="2" width="0.85546875" style="27" customWidth="1"/>
    <col min="3" max="6" width="11.42578125" style="27" customWidth="1"/>
    <col min="7" max="7" width="0.85546875" style="27" customWidth="1"/>
    <col min="8" max="8" width="7.5703125" style="27" customWidth="1"/>
    <col min="9" max="9" width="0.85546875" style="27" customWidth="1"/>
    <col min="10" max="11" width="11.42578125" style="27" customWidth="1"/>
    <col min="12" max="12" width="10.5703125" style="27" customWidth="1"/>
    <col min="13" max="13" width="0.85546875" style="27" customWidth="1"/>
    <col min="14" max="14" width="8.5703125" style="27" customWidth="1"/>
    <col min="15" max="15" width="0.85546875" style="27" customWidth="1"/>
    <col min="16" max="16" width="10.5703125" style="27" customWidth="1"/>
    <col min="17" max="17" width="11.42578125" style="27" customWidth="1"/>
    <col min="18" max="18" width="0.85546875" style="27" customWidth="1"/>
    <col min="19" max="19" width="10.5703125" style="27" customWidth="1"/>
    <col min="20" max="20" width="0.85546875" style="27" customWidth="1"/>
    <col min="21" max="21" width="2.85546875" style="27" customWidth="1"/>
    <col min="22" max="16384" width="14.42578125" style="27"/>
  </cols>
  <sheetData>
    <row r="1" spans="2:28" ht="15" customHeight="1" thickBot="1"/>
    <row r="2" spans="2:28" ht="18" customHeight="1">
      <c r="B2" s="75"/>
      <c r="C2" s="515" t="s">
        <v>24</v>
      </c>
      <c r="D2" s="515"/>
      <c r="E2" s="515"/>
      <c r="F2" s="515"/>
      <c r="G2" s="82"/>
      <c r="I2" s="75"/>
      <c r="J2" s="518" t="s">
        <v>109</v>
      </c>
      <c r="K2" s="518"/>
      <c r="L2" s="518"/>
      <c r="M2" s="82"/>
      <c r="O2" s="64"/>
      <c r="P2" s="521" t="s">
        <v>102</v>
      </c>
      <c r="Q2" s="521"/>
      <c r="R2" s="521"/>
      <c r="S2" s="521"/>
      <c r="T2" s="65"/>
    </row>
    <row r="3" spans="2:28" ht="25.5" customHeight="1">
      <c r="B3" s="77"/>
      <c r="C3" s="519" t="s">
        <v>21</v>
      </c>
      <c r="D3" s="520"/>
      <c r="E3" s="99">
        <v>5</v>
      </c>
      <c r="F3" s="99">
        <v>0.5</v>
      </c>
      <c r="G3" s="83"/>
      <c r="I3" s="77"/>
      <c r="J3" s="519" t="s">
        <v>112</v>
      </c>
      <c r="K3" s="520"/>
      <c r="L3" s="109">
        <v>10.27</v>
      </c>
      <c r="M3" s="83"/>
      <c r="O3" s="66"/>
      <c r="P3" s="524" t="s">
        <v>103</v>
      </c>
      <c r="Q3" s="525"/>
      <c r="R3" s="536">
        <v>1.01</v>
      </c>
      <c r="S3" s="537"/>
      <c r="T3" s="67"/>
    </row>
    <row r="4" spans="2:28" ht="25.5" customHeight="1">
      <c r="B4" s="77"/>
      <c r="C4" s="519" t="s">
        <v>22</v>
      </c>
      <c r="D4" s="520"/>
      <c r="E4" s="99">
        <v>4</v>
      </c>
      <c r="F4" s="99">
        <v>0.4</v>
      </c>
      <c r="G4" s="83"/>
      <c r="I4" s="77"/>
      <c r="J4" s="519" t="s">
        <v>110</v>
      </c>
      <c r="K4" s="520"/>
      <c r="L4" s="100">
        <v>2</v>
      </c>
      <c r="M4" s="83"/>
      <c r="O4" s="66"/>
      <c r="P4" s="524" t="s">
        <v>231</v>
      </c>
      <c r="Q4" s="525"/>
      <c r="R4" s="538">
        <v>29.1</v>
      </c>
      <c r="S4" s="539"/>
      <c r="T4" s="67"/>
    </row>
    <row r="5" spans="2:28" ht="25.5" customHeight="1">
      <c r="B5" s="77"/>
      <c r="C5" s="519" t="s">
        <v>23</v>
      </c>
      <c r="D5" s="520"/>
      <c r="E5" s="99">
        <v>4.5</v>
      </c>
      <c r="F5" s="112" t="str">
        <f>TEXT(F3-(E3-E5)/(E3-E4)*(F3-F4),"0.000")</f>
        <v>0.450</v>
      </c>
      <c r="G5" s="83"/>
      <c r="I5" s="77"/>
      <c r="J5" s="519" t="s">
        <v>111</v>
      </c>
      <c r="K5" s="520"/>
      <c r="L5" s="111">
        <f>L3*0.5*SIN(RADIANS(L4))*100</f>
        <v>17.920891556734247</v>
      </c>
      <c r="M5" s="83"/>
      <c r="O5" s="66"/>
      <c r="P5" s="524" t="s">
        <v>232</v>
      </c>
      <c r="Q5" s="525"/>
      <c r="R5" s="540">
        <f>R4/25*(1.025-R3)*1000</f>
        <v>17.459999999999887</v>
      </c>
      <c r="S5" s="541"/>
      <c r="T5" s="67"/>
    </row>
    <row r="6" spans="2:28" ht="4.5" customHeight="1" thickBot="1">
      <c r="B6" s="79"/>
      <c r="C6" s="84"/>
      <c r="D6" s="84"/>
      <c r="E6" s="84"/>
      <c r="F6" s="84"/>
      <c r="G6" s="85"/>
      <c r="I6" s="79"/>
      <c r="J6" s="84"/>
      <c r="K6" s="84"/>
      <c r="L6" s="84"/>
      <c r="M6" s="85"/>
      <c r="O6" s="68"/>
      <c r="P6" s="69"/>
      <c r="Q6" s="69"/>
      <c r="R6" s="69"/>
      <c r="S6" s="84"/>
      <c r="T6" s="70"/>
    </row>
    <row r="7" spans="2:28" ht="15" customHeight="1" thickBot="1"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2:28" ht="18" customHeight="1">
      <c r="B8" s="64"/>
      <c r="C8" s="521" t="s">
        <v>100</v>
      </c>
      <c r="D8" s="521"/>
      <c r="E8" s="521"/>
      <c r="F8" s="521"/>
      <c r="G8" s="65"/>
      <c r="I8" s="454"/>
      <c r="J8" s="526" t="s">
        <v>424</v>
      </c>
      <c r="K8" s="526"/>
      <c r="L8" s="526"/>
      <c r="M8" s="127"/>
      <c r="O8" s="64"/>
      <c r="P8" s="521" t="s">
        <v>104</v>
      </c>
      <c r="Q8" s="521"/>
      <c r="R8" s="521"/>
      <c r="S8" s="521"/>
      <c r="T8" s="74"/>
      <c r="U8" s="29"/>
      <c r="V8" s="29"/>
      <c r="W8" s="29"/>
      <c r="X8" s="29"/>
      <c r="Y8" s="29"/>
      <c r="Z8" s="29"/>
      <c r="AA8" s="29"/>
      <c r="AB8" s="29"/>
    </row>
    <row r="9" spans="2:28" ht="18" customHeight="1">
      <c r="B9" s="66"/>
      <c r="C9" s="523"/>
      <c r="D9" s="523"/>
      <c r="E9" s="523"/>
      <c r="F9" s="523"/>
      <c r="G9" s="67"/>
      <c r="I9" s="456"/>
      <c r="J9" s="527"/>
      <c r="K9" s="527"/>
      <c r="L9" s="527"/>
      <c r="M9" s="83"/>
      <c r="O9" s="66"/>
      <c r="P9" s="522"/>
      <c r="Q9" s="522"/>
      <c r="R9" s="522"/>
      <c r="S9" s="522"/>
      <c r="T9" s="71"/>
      <c r="U9" s="29"/>
      <c r="V9" s="29"/>
      <c r="W9" s="29"/>
      <c r="X9" s="29"/>
      <c r="Y9" s="29"/>
      <c r="Z9" s="29"/>
      <c r="AA9" s="29"/>
      <c r="AB9" s="29"/>
    </row>
    <row r="10" spans="2:28" ht="18" customHeight="1">
      <c r="B10" s="66"/>
      <c r="C10" s="98" t="s">
        <v>376</v>
      </c>
      <c r="D10" s="102">
        <v>0.98399999999999999</v>
      </c>
      <c r="E10" s="98" t="s">
        <v>377</v>
      </c>
      <c r="F10" s="98" t="s">
        <v>101</v>
      </c>
      <c r="G10" s="67"/>
      <c r="I10" s="77"/>
      <c r="J10" s="534" t="s">
        <v>417</v>
      </c>
      <c r="K10" s="535"/>
      <c r="L10" s="453">
        <v>6.6</v>
      </c>
      <c r="M10" s="83"/>
      <c r="O10" s="66"/>
      <c r="P10" s="524" t="s">
        <v>105</v>
      </c>
      <c r="Q10" s="525"/>
      <c r="R10" s="516">
        <v>32.270000000000003</v>
      </c>
      <c r="S10" s="517"/>
      <c r="T10" s="73"/>
      <c r="U10" s="29"/>
      <c r="V10" s="29"/>
      <c r="W10" s="29"/>
      <c r="X10" s="29"/>
      <c r="Y10" s="29"/>
      <c r="Z10" s="29"/>
      <c r="AA10" s="29"/>
      <c r="AB10" s="29"/>
    </row>
    <row r="11" spans="2:28" ht="18" customHeight="1">
      <c r="B11" s="66"/>
      <c r="C11" s="487" t="s">
        <v>92</v>
      </c>
      <c r="D11" s="488"/>
      <c r="E11" s="103">
        <v>10642.4</v>
      </c>
      <c r="F11" s="104">
        <f>E11/$D$10</f>
        <v>10815.447154471545</v>
      </c>
      <c r="G11" s="67"/>
      <c r="I11" s="77"/>
      <c r="J11" s="534" t="s">
        <v>422</v>
      </c>
      <c r="K11" s="535"/>
      <c r="L11" s="453">
        <v>1</v>
      </c>
      <c r="M11" s="83"/>
      <c r="O11" s="66"/>
      <c r="P11" s="524" t="s">
        <v>106</v>
      </c>
      <c r="Q11" s="525"/>
      <c r="R11" s="516">
        <v>185</v>
      </c>
      <c r="S11" s="517"/>
      <c r="T11" s="67"/>
      <c r="U11" s="29"/>
      <c r="V11" s="29"/>
      <c r="W11" s="29"/>
      <c r="X11" s="29"/>
      <c r="Y11" s="29"/>
      <c r="Z11" s="29"/>
      <c r="AA11" s="29"/>
      <c r="AB11" s="29"/>
    </row>
    <row r="12" spans="2:28" ht="18" customHeight="1">
      <c r="B12" s="66"/>
      <c r="C12" s="507" t="s">
        <v>93</v>
      </c>
      <c r="D12" s="508"/>
      <c r="E12" s="105">
        <v>11699</v>
      </c>
      <c r="F12" s="106">
        <f>E12/$D$10</f>
        <v>11889.227642276423</v>
      </c>
      <c r="G12" s="67"/>
      <c r="I12" s="77"/>
      <c r="J12" s="492" t="s">
        <v>418</v>
      </c>
      <c r="K12" s="493"/>
      <c r="L12" s="115">
        <f>ROUNDDOWN(L10+L11,0)</f>
        <v>7</v>
      </c>
      <c r="M12" s="83"/>
      <c r="O12" s="66"/>
      <c r="P12" s="524" t="s">
        <v>108</v>
      </c>
      <c r="Q12" s="525"/>
      <c r="R12" s="516">
        <v>6.46</v>
      </c>
      <c r="S12" s="517"/>
      <c r="T12" s="67"/>
      <c r="U12" s="29"/>
      <c r="V12" s="29"/>
      <c r="W12" s="29"/>
      <c r="X12" s="29"/>
      <c r="Y12" s="29"/>
      <c r="Z12" s="29"/>
      <c r="AA12" s="29"/>
      <c r="AB12" s="29"/>
    </row>
    <row r="13" spans="2:28" ht="18" customHeight="1">
      <c r="B13" s="66"/>
      <c r="C13" s="507" t="s">
        <v>94</v>
      </c>
      <c r="D13" s="508"/>
      <c r="E13" s="105">
        <v>11653.6</v>
      </c>
      <c r="F13" s="106">
        <f>E13/$D$10</f>
        <v>11843.08943089431</v>
      </c>
      <c r="G13" s="67"/>
      <c r="I13" s="87"/>
      <c r="J13" s="492" t="s">
        <v>419</v>
      </c>
      <c r="K13" s="493"/>
      <c r="L13" s="455">
        <f>ROUNDUP(L10+L11,0)</f>
        <v>8</v>
      </c>
      <c r="M13" s="78"/>
      <c r="O13" s="66"/>
      <c r="T13" s="67"/>
      <c r="U13" s="29"/>
      <c r="V13" s="29"/>
      <c r="W13" s="29"/>
      <c r="X13" s="29"/>
      <c r="Y13" s="29"/>
      <c r="Z13" s="29"/>
      <c r="AA13" s="29"/>
      <c r="AB13" s="29"/>
    </row>
    <row r="14" spans="2:28" ht="18" customHeight="1">
      <c r="B14" s="66"/>
      <c r="C14" s="507" t="s">
        <v>95</v>
      </c>
      <c r="D14" s="508"/>
      <c r="E14" s="105">
        <v>11686.6</v>
      </c>
      <c r="F14" s="300">
        <v>10815.447154471545</v>
      </c>
      <c r="G14" s="67"/>
      <c r="I14" s="87"/>
      <c r="J14" s="492" t="s">
        <v>420</v>
      </c>
      <c r="K14" s="493"/>
      <c r="L14" s="115">
        <f>L13</f>
        <v>8</v>
      </c>
      <c r="M14" s="78"/>
      <c r="O14" s="66"/>
      <c r="P14" s="524" t="s">
        <v>107</v>
      </c>
      <c r="Q14" s="525"/>
      <c r="R14" s="516">
        <v>8.27</v>
      </c>
      <c r="S14" s="517"/>
      <c r="T14" s="67"/>
      <c r="U14" s="29"/>
      <c r="V14" s="29"/>
      <c r="W14" s="29"/>
      <c r="X14" s="29"/>
      <c r="Y14" s="29"/>
      <c r="Z14" s="29"/>
      <c r="AA14" s="29"/>
      <c r="AB14" s="29"/>
    </row>
    <row r="15" spans="2:28" ht="18" customHeight="1">
      <c r="B15" s="66"/>
      <c r="C15" s="507" t="s">
        <v>96</v>
      </c>
      <c r="D15" s="508"/>
      <c r="E15" s="105">
        <v>11750.5</v>
      </c>
      <c r="F15" s="106">
        <f>E15/$D$10</f>
        <v>11941.565040650406</v>
      </c>
      <c r="G15" s="67"/>
      <c r="I15" s="87"/>
      <c r="J15" s="492" t="s">
        <v>421</v>
      </c>
      <c r="K15" s="493"/>
      <c r="L15" s="115">
        <f>L13*2</f>
        <v>16</v>
      </c>
      <c r="M15" s="78"/>
      <c r="O15" s="66"/>
      <c r="P15" s="524" t="s">
        <v>113</v>
      </c>
      <c r="Q15" s="525"/>
      <c r="R15" s="528">
        <f>(2*(0.373+0.023*(R10/R12)-0.043*(R11/100))*R10)/(SQRT(R14))</f>
        <v>9.164346942065281</v>
      </c>
      <c r="S15" s="529"/>
      <c r="T15" s="67"/>
      <c r="U15" s="29"/>
      <c r="V15" s="29"/>
      <c r="W15" s="29"/>
      <c r="X15" s="29"/>
      <c r="Y15" s="29"/>
      <c r="Z15" s="29"/>
      <c r="AA15" s="29"/>
      <c r="AB15" s="29"/>
    </row>
    <row r="16" spans="2:28" ht="18" customHeight="1">
      <c r="B16" s="66"/>
      <c r="C16" s="507" t="s">
        <v>97</v>
      </c>
      <c r="D16" s="508"/>
      <c r="E16" s="105"/>
      <c r="F16" s="106">
        <f>E16/$D$10</f>
        <v>0</v>
      </c>
      <c r="G16" s="67"/>
      <c r="I16" s="87"/>
      <c r="J16" s="489" t="s">
        <v>423</v>
      </c>
      <c r="K16" s="490"/>
      <c r="L16" s="491"/>
      <c r="M16" s="78"/>
      <c r="O16" s="66"/>
      <c r="T16" s="67"/>
      <c r="U16" s="29"/>
      <c r="V16" s="29"/>
      <c r="W16" s="29"/>
      <c r="X16" s="29"/>
      <c r="Y16" s="29"/>
      <c r="Z16" s="29"/>
      <c r="AA16" s="29"/>
      <c r="AB16" s="29"/>
    </row>
    <row r="17" spans="2:28" ht="4.5" customHeight="1" thickBot="1">
      <c r="B17" s="66"/>
      <c r="C17" s="501" t="s">
        <v>98</v>
      </c>
      <c r="D17" s="501"/>
      <c r="E17" s="503"/>
      <c r="F17" s="505">
        <f>E17/$D$10</f>
        <v>0</v>
      </c>
      <c r="G17" s="67"/>
      <c r="I17" s="88"/>
      <c r="J17" s="80"/>
      <c r="K17" s="80"/>
      <c r="L17" s="80"/>
      <c r="M17" s="81"/>
      <c r="O17" s="66"/>
      <c r="P17" s="565" t="s">
        <v>113</v>
      </c>
      <c r="Q17" s="565"/>
      <c r="R17" s="566">
        <v>9.16</v>
      </c>
      <c r="S17" s="566"/>
      <c r="T17" s="67"/>
      <c r="U17" s="29"/>
      <c r="V17" s="29"/>
      <c r="W17" s="29"/>
      <c r="X17" s="29"/>
      <c r="Y17" s="29"/>
      <c r="Z17" s="29"/>
      <c r="AA17" s="29"/>
      <c r="AB17" s="29"/>
    </row>
    <row r="18" spans="2:28" ht="13.5" customHeight="1">
      <c r="B18" s="66"/>
      <c r="C18" s="502"/>
      <c r="D18" s="502"/>
      <c r="E18" s="504"/>
      <c r="F18" s="506"/>
      <c r="G18" s="67"/>
      <c r="O18" s="66"/>
      <c r="P18" s="502"/>
      <c r="Q18" s="502"/>
      <c r="R18" s="567"/>
      <c r="S18" s="567"/>
      <c r="T18" s="67"/>
      <c r="U18" s="29"/>
      <c r="V18" s="29"/>
      <c r="W18" s="29"/>
      <c r="X18" s="29"/>
      <c r="Y18" s="29"/>
      <c r="Z18" s="29"/>
      <c r="AA18" s="29"/>
      <c r="AB18" s="29"/>
    </row>
    <row r="19" spans="2:28" ht="18" customHeight="1">
      <c r="B19" s="66"/>
      <c r="C19" s="509" t="s">
        <v>99</v>
      </c>
      <c r="D19" s="510"/>
      <c r="E19" s="107">
        <f>SUM(E11:E17)</f>
        <v>57432.1</v>
      </c>
      <c r="F19" s="107">
        <f>SUM(F11:F17)</f>
        <v>57304.776422764226</v>
      </c>
      <c r="G19" s="67"/>
      <c r="O19" s="66"/>
      <c r="P19" s="524" t="s">
        <v>107</v>
      </c>
      <c r="Q19" s="525"/>
      <c r="R19" s="530">
        <f>((2*(0.373+0.023*(R10/R12)-0.043*(R11/100))*R10)/R17)^2</f>
        <v>8.2778510351210901</v>
      </c>
      <c r="S19" s="531"/>
      <c r="T19" s="67"/>
      <c r="U19" s="29"/>
      <c r="V19" s="29"/>
      <c r="W19" s="29"/>
      <c r="X19" s="29"/>
      <c r="Y19" s="29"/>
      <c r="Z19" s="29"/>
      <c r="AA19" s="29"/>
      <c r="AB19" s="29"/>
    </row>
    <row r="20" spans="2:28" ht="4.5" customHeight="1" thickBot="1">
      <c r="B20" s="68"/>
      <c r="C20" s="69"/>
      <c r="D20" s="69"/>
      <c r="E20" s="69"/>
      <c r="F20" s="69"/>
      <c r="G20" s="70"/>
      <c r="O20" s="68"/>
      <c r="P20" s="69"/>
      <c r="Q20" s="69"/>
      <c r="R20" s="69"/>
      <c r="S20" s="69"/>
      <c r="T20" s="70"/>
      <c r="U20" s="29"/>
      <c r="V20" s="29"/>
      <c r="W20" s="29"/>
      <c r="X20" s="29"/>
      <c r="Y20" s="29"/>
      <c r="Z20" s="29"/>
      <c r="AA20" s="29"/>
      <c r="AB20" s="29"/>
    </row>
    <row r="21" spans="2:28" ht="15" customHeight="1" thickBot="1">
      <c r="H21" s="26"/>
      <c r="I21" s="26"/>
      <c r="T21" s="29"/>
      <c r="U21" s="29"/>
      <c r="V21" s="29"/>
      <c r="W21" s="29"/>
      <c r="X21" s="29"/>
      <c r="Y21" s="29"/>
      <c r="Z21" s="29"/>
      <c r="AA21" s="29"/>
      <c r="AB21" s="29"/>
    </row>
    <row r="22" spans="2:28" ht="18" customHeight="1">
      <c r="B22" s="75"/>
      <c r="C22" s="498" t="s">
        <v>25</v>
      </c>
      <c r="D22" s="498"/>
      <c r="E22" s="498"/>
      <c r="F22" s="498"/>
      <c r="G22" s="76"/>
      <c r="H22" s="28"/>
      <c r="I22" s="86"/>
      <c r="J22" s="498" t="s">
        <v>26</v>
      </c>
      <c r="K22" s="498"/>
      <c r="L22" s="498"/>
      <c r="M22" s="498"/>
      <c r="N22" s="498"/>
      <c r="O22" s="498"/>
      <c r="P22" s="498"/>
      <c r="Q22" s="498"/>
      <c r="R22" s="89"/>
      <c r="T22" s="29"/>
      <c r="U22" s="29"/>
      <c r="V22" s="29"/>
      <c r="W22" s="29"/>
      <c r="X22" s="29"/>
      <c r="Y22" s="29"/>
      <c r="Z22" s="29"/>
      <c r="AA22" s="29"/>
      <c r="AB22" s="29"/>
    </row>
    <row r="23" spans="2:28" ht="18" customHeight="1">
      <c r="B23" s="77"/>
      <c r="C23" s="511" t="s">
        <v>14</v>
      </c>
      <c r="D23" s="512"/>
      <c r="E23" s="513" t="s">
        <v>15</v>
      </c>
      <c r="F23" s="513" t="s">
        <v>16</v>
      </c>
      <c r="G23" s="78"/>
      <c r="H23" s="29"/>
      <c r="I23" s="87"/>
      <c r="J23" s="511" t="s">
        <v>19</v>
      </c>
      <c r="K23" s="512"/>
      <c r="L23" s="574" t="s">
        <v>15</v>
      </c>
      <c r="M23" s="575"/>
      <c r="N23" s="532" t="s">
        <v>16</v>
      </c>
      <c r="O23" s="511" t="s">
        <v>20</v>
      </c>
      <c r="P23" s="543"/>
      <c r="Q23" s="542"/>
      <c r="R23" s="78"/>
      <c r="T23" s="29"/>
      <c r="U23" s="29"/>
      <c r="V23" s="29"/>
      <c r="W23" s="29"/>
      <c r="X23" s="29"/>
      <c r="Y23" s="29"/>
      <c r="Z23" s="29"/>
      <c r="AA23" s="29"/>
      <c r="AB23" s="29"/>
    </row>
    <row r="24" spans="2:28" ht="18" customHeight="1">
      <c r="B24" s="77"/>
      <c r="C24" s="30" t="s">
        <v>17</v>
      </c>
      <c r="D24" s="30" t="s">
        <v>18</v>
      </c>
      <c r="E24" s="514"/>
      <c r="F24" s="514"/>
      <c r="G24" s="78"/>
      <c r="H24" s="29"/>
      <c r="I24" s="87"/>
      <c r="J24" s="30" t="s">
        <v>17</v>
      </c>
      <c r="K24" s="30" t="s">
        <v>18</v>
      </c>
      <c r="L24" s="574"/>
      <c r="M24" s="575"/>
      <c r="N24" s="533"/>
      <c r="O24" s="511" t="s">
        <v>17</v>
      </c>
      <c r="P24" s="542"/>
      <c r="Q24" s="30" t="s">
        <v>18</v>
      </c>
      <c r="R24" s="78"/>
      <c r="T24" s="29"/>
      <c r="U24" s="29"/>
      <c r="V24" s="29"/>
      <c r="W24" s="29"/>
      <c r="X24" s="29"/>
      <c r="Y24" s="29"/>
      <c r="Z24" s="29"/>
      <c r="AA24" s="29"/>
      <c r="AB24" s="29"/>
    </row>
    <row r="25" spans="2:28" ht="18" customHeight="1">
      <c r="B25" s="77"/>
      <c r="C25" s="110">
        <v>35</v>
      </c>
      <c r="D25" s="113">
        <f>C25*3.280839895</f>
        <v>114.829396325</v>
      </c>
      <c r="E25" s="116">
        <f>2.083*SQRT(C25)</f>
        <v>12.323194188196501</v>
      </c>
      <c r="F25" s="114">
        <f t="shared" ref="F25:F26" si="0">E25/0.621</f>
        <v>19.844113024471017</v>
      </c>
      <c r="G25" s="78"/>
      <c r="H25" s="29"/>
      <c r="I25" s="87"/>
      <c r="J25" s="110">
        <v>30.5</v>
      </c>
      <c r="K25" s="113">
        <f>J25*3.280839895</f>
        <v>100.0656167975</v>
      </c>
      <c r="L25" s="572">
        <f>2.083*(SQRT(J25)+SQRT(O25))</f>
        <v>19.624772547495361</v>
      </c>
      <c r="M25" s="573"/>
      <c r="N25" s="114">
        <f>L25/0.621</f>
        <v>31.601888160217975</v>
      </c>
      <c r="O25" s="576">
        <v>15.2</v>
      </c>
      <c r="P25" s="577"/>
      <c r="Q25" s="113">
        <f>O25*3.280839895</f>
        <v>49.868766403999999</v>
      </c>
      <c r="R25" s="78"/>
      <c r="T25" s="29"/>
      <c r="U25" s="29"/>
      <c r="V25" s="29"/>
      <c r="W25" s="29"/>
      <c r="X25" s="29"/>
      <c r="Y25" s="29"/>
      <c r="Z25" s="29"/>
      <c r="AA25" s="29"/>
      <c r="AB25" s="29"/>
    </row>
    <row r="26" spans="2:28" ht="18" customHeight="1">
      <c r="B26" s="77"/>
      <c r="C26" s="115">
        <f>D26/3.280839895</f>
        <v>35.052000000140204</v>
      </c>
      <c r="D26" s="108">
        <v>115</v>
      </c>
      <c r="E26" s="116">
        <f>1.15*SQRT(D26)</f>
        <v>12.332376088978148</v>
      </c>
      <c r="F26" s="114">
        <f t="shared" si="0"/>
        <v>19.85889869400668</v>
      </c>
      <c r="G26" s="78"/>
      <c r="H26" s="29"/>
      <c r="I26" s="87"/>
      <c r="J26" s="115">
        <f>K26/3.280839895</f>
        <v>30.480000000121919</v>
      </c>
      <c r="K26" s="108">
        <v>100</v>
      </c>
      <c r="L26" s="572">
        <f>1.15*(SQRT(K26)+SQRT(Q26))</f>
        <v>19.631727983645295</v>
      </c>
      <c r="M26" s="573"/>
      <c r="N26" s="114">
        <f>L26/0.621</f>
        <v>31.613088540491617</v>
      </c>
      <c r="O26" s="570">
        <f>Q26/3.280839895</f>
        <v>15.240000000060959</v>
      </c>
      <c r="P26" s="571"/>
      <c r="Q26" s="108">
        <v>50</v>
      </c>
      <c r="R26" s="78"/>
      <c r="S26" s="72"/>
      <c r="T26" s="29"/>
      <c r="U26" s="29"/>
      <c r="V26" s="29"/>
      <c r="W26" s="29"/>
      <c r="X26" s="29"/>
      <c r="Y26" s="29"/>
      <c r="Z26" s="29"/>
      <c r="AA26" s="29"/>
      <c r="AB26" s="29"/>
    </row>
    <row r="27" spans="2:28" ht="4.5" customHeight="1" thickBot="1">
      <c r="B27" s="79"/>
      <c r="C27" s="80"/>
      <c r="D27" s="80"/>
      <c r="E27" s="80"/>
      <c r="F27" s="80"/>
      <c r="G27" s="81"/>
      <c r="H27" s="29"/>
      <c r="I27" s="88"/>
      <c r="J27" s="80"/>
      <c r="K27" s="80"/>
      <c r="L27" s="80"/>
      <c r="M27" s="80"/>
      <c r="N27" s="80"/>
      <c r="O27" s="80"/>
      <c r="P27" s="80"/>
      <c r="Q27" s="80"/>
      <c r="R27" s="81"/>
      <c r="T27" s="29"/>
      <c r="U27" s="29"/>
      <c r="V27" s="29"/>
      <c r="W27" s="29"/>
      <c r="X27" s="29"/>
      <c r="Y27" s="29"/>
      <c r="Z27" s="29"/>
      <c r="AA27" s="29"/>
      <c r="AB27" s="29"/>
    </row>
    <row r="28" spans="2:28" ht="15" customHeight="1" thickBot="1">
      <c r="O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2:28" ht="18" customHeight="1">
      <c r="B29" s="75"/>
      <c r="C29" s="521" t="s">
        <v>116</v>
      </c>
      <c r="D29" s="521"/>
      <c r="E29" s="521"/>
      <c r="F29" s="521"/>
      <c r="G29" s="521"/>
      <c r="H29" s="521"/>
      <c r="I29" s="521"/>
      <c r="J29" s="521"/>
      <c r="K29" s="521"/>
      <c r="L29" s="521"/>
      <c r="M29" s="127"/>
      <c r="O29" s="64"/>
      <c r="P29" s="521" t="str">
        <f>PROPER("MAXIMUM RADIUS OF SWING - ON ANCHOR")</f>
        <v>Maximum Radius Of Swing - On Anchor</v>
      </c>
      <c r="Q29" s="521"/>
      <c r="R29" s="521"/>
      <c r="S29" s="521"/>
      <c r="T29" s="74"/>
      <c r="U29" s="29"/>
      <c r="V29" s="29"/>
      <c r="W29" s="29"/>
      <c r="X29" s="29"/>
      <c r="Y29" s="29"/>
      <c r="Z29" s="29"/>
      <c r="AA29" s="29"/>
      <c r="AB29" s="29"/>
    </row>
    <row r="30" spans="2:28" ht="15.75" customHeight="1">
      <c r="B30" s="77"/>
      <c r="C30" s="534" t="s">
        <v>117</v>
      </c>
      <c r="D30" s="535"/>
      <c r="E30" s="117">
        <v>30</v>
      </c>
      <c r="F30" s="118"/>
      <c r="G30" s="492" t="s">
        <v>120</v>
      </c>
      <c r="H30" s="550"/>
      <c r="I30" s="550"/>
      <c r="J30" s="550"/>
      <c r="K30" s="493"/>
      <c r="L30" s="124">
        <f>ROUND(E36,2)</f>
        <v>0.28999999999999998</v>
      </c>
      <c r="M30" s="83"/>
      <c r="O30" s="66"/>
      <c r="P30" s="522"/>
      <c r="Q30" s="522"/>
      <c r="R30" s="522"/>
      <c r="S30" s="522"/>
      <c r="T30" s="71"/>
      <c r="U30" s="29"/>
      <c r="W30" s="29"/>
      <c r="X30" s="29"/>
      <c r="Y30" s="29"/>
      <c r="Z30" s="29"/>
      <c r="AA30" s="29"/>
      <c r="AB30" s="29"/>
    </row>
    <row r="31" spans="2:28" ht="15.75" customHeight="1" thickBot="1">
      <c r="B31" s="77"/>
      <c r="C31" s="534" t="s">
        <v>118</v>
      </c>
      <c r="D31" s="535"/>
      <c r="E31" s="441">
        <v>19</v>
      </c>
      <c r="F31" s="118"/>
      <c r="G31" s="492" t="s">
        <v>119</v>
      </c>
      <c r="H31" s="550"/>
      <c r="I31" s="550"/>
      <c r="J31" s="550"/>
      <c r="K31" s="493"/>
      <c r="L31" s="128">
        <f>ROUND(E35,1)</f>
        <v>0.6</v>
      </c>
      <c r="M31" s="78"/>
      <c r="O31" s="66"/>
      <c r="P31" s="524" t="s">
        <v>174</v>
      </c>
      <c r="Q31" s="525"/>
      <c r="R31" s="583">
        <v>190</v>
      </c>
      <c r="S31" s="584"/>
      <c r="T31" s="73"/>
      <c r="U31" s="29"/>
      <c r="V31" s="29"/>
      <c r="W31" s="29"/>
      <c r="X31" s="29"/>
      <c r="Y31" s="29"/>
      <c r="Z31" s="29"/>
      <c r="AA31" s="29"/>
      <c r="AB31" s="29"/>
    </row>
    <row r="32" spans="2:28" ht="15.75" customHeight="1" thickTop="1">
      <c r="B32" s="77"/>
      <c r="C32" s="559" t="s">
        <v>125</v>
      </c>
      <c r="D32" s="560"/>
      <c r="E32" s="563" t="s">
        <v>124</v>
      </c>
      <c r="F32" s="118"/>
      <c r="G32" s="492" t="s">
        <v>127</v>
      </c>
      <c r="H32" s="550"/>
      <c r="I32" s="550"/>
      <c r="J32" s="550"/>
      <c r="K32" s="493"/>
      <c r="L32" s="128">
        <f>ROUND(E34*0.44,1)</f>
        <v>0.5</v>
      </c>
      <c r="M32" s="78"/>
      <c r="O32" s="66"/>
      <c r="P32" s="524" t="s">
        <v>401</v>
      </c>
      <c r="Q32" s="525"/>
      <c r="R32" s="585">
        <v>25</v>
      </c>
      <c r="S32" s="586"/>
      <c r="T32" s="67"/>
      <c r="U32" s="29"/>
      <c r="V32" s="29"/>
      <c r="W32" s="29"/>
      <c r="X32" s="29"/>
      <c r="Y32" s="29"/>
      <c r="Z32" s="29"/>
      <c r="AA32" s="29"/>
      <c r="AB32" s="29"/>
    </row>
    <row r="33" spans="2:28" ht="15.75" customHeight="1" thickBot="1">
      <c r="B33" s="77"/>
      <c r="C33" s="561"/>
      <c r="D33" s="562"/>
      <c r="E33" s="564"/>
      <c r="F33" s="118"/>
      <c r="G33" s="492" t="s">
        <v>128</v>
      </c>
      <c r="H33" s="550"/>
      <c r="I33" s="550"/>
      <c r="J33" s="550"/>
      <c r="K33" s="493"/>
      <c r="L33" s="128">
        <f>ROUND(E34*0.45,1)</f>
        <v>0.5</v>
      </c>
      <c r="M33" s="78"/>
      <c r="O33" s="66"/>
      <c r="P33" s="524" t="s">
        <v>403</v>
      </c>
      <c r="Q33" s="525"/>
      <c r="R33" s="580">
        <v>6</v>
      </c>
      <c r="S33" s="581"/>
      <c r="T33" s="67"/>
      <c r="U33" s="29"/>
      <c r="V33" s="29"/>
      <c r="W33" s="29"/>
      <c r="X33" s="29"/>
      <c r="Y33" s="29"/>
      <c r="Z33" s="29"/>
      <c r="AA33" s="29"/>
      <c r="AB33" s="29"/>
    </row>
    <row r="34" spans="2:28" ht="15.75" customHeight="1" thickTop="1">
      <c r="B34" s="77"/>
      <c r="C34" s="534" t="s">
        <v>122</v>
      </c>
      <c r="D34" s="535"/>
      <c r="E34" s="449">
        <f>0.004*E30*E31*50%</f>
        <v>1.1399999999999999</v>
      </c>
      <c r="F34" s="118"/>
      <c r="G34" s="492" t="s">
        <v>129</v>
      </c>
      <c r="H34" s="550"/>
      <c r="I34" s="550"/>
      <c r="J34" s="550"/>
      <c r="K34" s="493"/>
      <c r="L34" s="124">
        <f>ROUND(E34*0.03,2)</f>
        <v>0.03</v>
      </c>
      <c r="M34" s="78"/>
      <c r="O34" s="66"/>
      <c r="P34" s="524" t="s">
        <v>402</v>
      </c>
      <c r="Q34" s="525"/>
      <c r="R34" s="516">
        <v>27.5</v>
      </c>
      <c r="S34" s="517"/>
      <c r="T34" s="67"/>
      <c r="U34" s="29"/>
      <c r="V34" s="29"/>
      <c r="W34" s="29"/>
      <c r="X34" s="29"/>
      <c r="Y34" s="29"/>
      <c r="Z34" s="29"/>
      <c r="AA34" s="29"/>
      <c r="AB34" s="29"/>
    </row>
    <row r="35" spans="2:28" ht="15.75" customHeight="1">
      <c r="B35" s="77"/>
      <c r="C35" s="534" t="s">
        <v>126</v>
      </c>
      <c r="D35" s="535"/>
      <c r="E35" s="119">
        <f>0.004*E30*E31*25%</f>
        <v>0.56999999999999995</v>
      </c>
      <c r="F35" s="118"/>
      <c r="G35" s="492" t="s">
        <v>130</v>
      </c>
      <c r="H35" s="550"/>
      <c r="I35" s="550"/>
      <c r="J35" s="550"/>
      <c r="K35" s="493"/>
      <c r="L35" s="124">
        <f>ROUND(E34*0.01,2)</f>
        <v>0.01</v>
      </c>
      <c r="M35" s="78"/>
      <c r="O35" s="66"/>
      <c r="P35" s="582" t="s">
        <v>404</v>
      </c>
      <c r="Q35" s="582"/>
      <c r="R35" s="582"/>
      <c r="S35" s="582"/>
      <c r="T35" s="67"/>
      <c r="U35" s="29"/>
      <c r="V35" s="29"/>
      <c r="W35" s="29"/>
      <c r="X35" s="29"/>
      <c r="Y35" s="29"/>
      <c r="Z35" s="29"/>
      <c r="AA35" s="29"/>
      <c r="AB35" s="29"/>
    </row>
    <row r="36" spans="2:28" ht="15.75" customHeight="1">
      <c r="B36" s="77"/>
      <c r="C36" s="534" t="s">
        <v>121</v>
      </c>
      <c r="D36" s="535"/>
      <c r="E36" s="120">
        <f>IF(E32="yes",0.004*E30*E31*12.5%,0.004*E30*E31*25%)</f>
        <v>0.28499999999999998</v>
      </c>
      <c r="F36" s="118"/>
      <c r="G36" s="492" t="s">
        <v>132</v>
      </c>
      <c r="H36" s="550"/>
      <c r="I36" s="550"/>
      <c r="J36" s="550"/>
      <c r="K36" s="493"/>
      <c r="L36" s="124">
        <f>ROUND(E34*0.01,2)</f>
        <v>0.01</v>
      </c>
      <c r="M36" s="78"/>
      <c r="O36" s="66"/>
      <c r="P36" s="524" t="s">
        <v>405</v>
      </c>
      <c r="Q36" s="525"/>
      <c r="R36" s="568">
        <f>((R31+SQRT(((R33*R34))^2-R32^2))/1854)*10</f>
        <v>1.9045041224541579</v>
      </c>
      <c r="S36" s="569"/>
      <c r="T36" s="67"/>
      <c r="U36" s="29"/>
      <c r="V36" s="29"/>
      <c r="W36" s="29"/>
      <c r="X36" s="29"/>
      <c r="Y36" s="29"/>
      <c r="Z36" s="29"/>
      <c r="AA36" s="29"/>
      <c r="AB36" s="29"/>
    </row>
    <row r="37" spans="2:28" ht="15.75" customHeight="1">
      <c r="B37" s="123"/>
      <c r="C37" s="551" t="s">
        <v>123</v>
      </c>
      <c r="D37" s="552"/>
      <c r="E37" s="122">
        <f>IF(E32="yes",0.004*E30*E31-E36,0.004*E30*E31)</f>
        <v>1.9949999999999999</v>
      </c>
      <c r="F37" s="118"/>
      <c r="G37" s="492" t="s">
        <v>133</v>
      </c>
      <c r="H37" s="550"/>
      <c r="I37" s="550"/>
      <c r="J37" s="550"/>
      <c r="K37" s="493"/>
      <c r="L37" s="125">
        <f>ROUND(E34*0.05,2)</f>
        <v>0.06</v>
      </c>
      <c r="M37" s="78"/>
      <c r="O37" s="66"/>
      <c r="P37" s="524" t="s">
        <v>406</v>
      </c>
      <c r="Q37" s="525"/>
      <c r="R37" s="578">
        <f>R36*185.4</f>
        <v>353.09506430300087</v>
      </c>
      <c r="S37" s="579"/>
      <c r="T37" s="67"/>
      <c r="U37" s="29"/>
      <c r="V37" s="29"/>
      <c r="W37" s="29"/>
      <c r="X37" s="29"/>
      <c r="Y37" s="29"/>
      <c r="Z37" s="29"/>
      <c r="AA37" s="29"/>
      <c r="AB37" s="29"/>
    </row>
    <row r="38" spans="2:28" ht="4.5" customHeight="1" thickBot="1">
      <c r="B38" s="77"/>
      <c r="F38" s="118"/>
      <c r="G38" s="553" t="s">
        <v>131</v>
      </c>
      <c r="H38" s="554"/>
      <c r="I38" s="554"/>
      <c r="J38" s="554"/>
      <c r="K38" s="554"/>
      <c r="L38" s="557"/>
      <c r="M38" s="78"/>
      <c r="O38" s="66"/>
      <c r="T38" s="67"/>
      <c r="U38" s="29"/>
      <c r="V38" s="29"/>
      <c r="W38" s="29"/>
      <c r="X38" s="29"/>
      <c r="Y38" s="29"/>
      <c r="Z38" s="29"/>
      <c r="AA38" s="29"/>
      <c r="AB38" s="29"/>
    </row>
    <row r="39" spans="2:28" ht="10.5" customHeight="1">
      <c r="B39" s="77"/>
      <c r="C39" s="547" t="str">
        <f>CONCATENATE("* I",LOWER("N CASE THAT THE VESSEL IS EQUIPPED WITH GRINDER THE FOOD WASTE VOLUME CAN BE DECREASED BY 50%."))</f>
        <v>* In case that the vessel is equipped with grinder the food waste volume can be decreased by 50%.</v>
      </c>
      <c r="D39" s="547"/>
      <c r="E39" s="547"/>
      <c r="F39" s="548"/>
      <c r="G39" s="555"/>
      <c r="H39" s="556"/>
      <c r="I39" s="556"/>
      <c r="J39" s="556"/>
      <c r="K39" s="556"/>
      <c r="L39" s="558"/>
      <c r="M39" s="78"/>
      <c r="O39" s="442"/>
      <c r="P39" s="442"/>
      <c r="Q39" s="442"/>
      <c r="R39" s="442"/>
      <c r="S39" s="442"/>
      <c r="T39" s="442"/>
      <c r="U39" s="29"/>
      <c r="V39" s="29"/>
      <c r="W39" s="29"/>
      <c r="X39" s="29"/>
      <c r="Y39" s="29"/>
      <c r="Z39" s="29"/>
      <c r="AA39" s="29"/>
      <c r="AB39" s="29"/>
    </row>
    <row r="40" spans="2:28" ht="15.75" customHeight="1">
      <c r="B40" s="77"/>
      <c r="C40" s="547"/>
      <c r="D40" s="547"/>
      <c r="E40" s="547"/>
      <c r="F40" s="548"/>
      <c r="G40" s="492" t="s">
        <v>134</v>
      </c>
      <c r="H40" s="550"/>
      <c r="I40" s="550"/>
      <c r="J40" s="550"/>
      <c r="K40" s="493"/>
      <c r="L40" s="126"/>
      <c r="M40" s="78"/>
      <c r="O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2:28" ht="15.75" customHeight="1">
      <c r="B41" s="77"/>
      <c r="C41" s="547" t="str">
        <f>CONCATENATE("** I",LOWER("N CASE THAT PLASTIC AND OILY RAGS ARE INCINERATED, THE PRODUCED ASHES MUST REMAIN ON BOARD AND DISPOSED TO SHORE FACILITIES."))</f>
        <v>** In case that plastic and oily rags are incinerated, the produced ashes must remain on board and disposed to shore facilities.</v>
      </c>
      <c r="D41" s="547"/>
      <c r="E41" s="547"/>
      <c r="F41" s="548"/>
      <c r="G41" s="544" t="s">
        <v>99</v>
      </c>
      <c r="H41" s="545"/>
      <c r="I41" s="545"/>
      <c r="J41" s="545"/>
      <c r="K41" s="546"/>
      <c r="L41" s="121">
        <f>SUM(L30:L40)</f>
        <v>2</v>
      </c>
      <c r="M41" s="78"/>
      <c r="O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2:28" ht="15.75" customHeight="1">
      <c r="B42" s="77"/>
      <c r="C42" s="547"/>
      <c r="D42" s="547"/>
      <c r="E42" s="547"/>
      <c r="F42" s="547"/>
      <c r="G42" s="549" t="str">
        <f>CONCATENATE("C",LOWER("ONSULT MARPOL ANNEX V FOR SPECIAL AREAS AND RELEVANT INFOS."))</f>
        <v>Consult marpol annex v for special areas and relevant infos.</v>
      </c>
      <c r="H42" s="549"/>
      <c r="I42" s="549"/>
      <c r="J42" s="549"/>
      <c r="K42" s="549"/>
      <c r="L42" s="549"/>
      <c r="M42" s="83"/>
      <c r="N42" s="29"/>
      <c r="O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2:28" ht="4.5" customHeight="1" thickBot="1">
      <c r="B43" s="79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5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2:28" ht="15.75" customHeight="1" thickBot="1"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</row>
    <row r="45" spans="2:28" ht="15.75" customHeight="1" thickBot="1">
      <c r="B45" s="75"/>
      <c r="C45" s="498" t="s">
        <v>414</v>
      </c>
      <c r="D45" s="498"/>
      <c r="E45" s="498"/>
      <c r="F45" s="498"/>
      <c r="G45" s="127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</row>
    <row r="46" spans="2:28" ht="15.75" customHeight="1" thickTop="1" thickBot="1">
      <c r="B46" s="77"/>
      <c r="C46" s="487" t="s">
        <v>411</v>
      </c>
      <c r="D46" s="488"/>
      <c r="E46" s="447" t="s">
        <v>410</v>
      </c>
      <c r="F46" s="448" t="s">
        <v>68</v>
      </c>
      <c r="G46" s="78"/>
      <c r="H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</row>
    <row r="47" spans="2:28" ht="15.75" customHeight="1" thickTop="1" thickBot="1">
      <c r="B47" s="77"/>
      <c r="C47" s="494" t="s">
        <v>412</v>
      </c>
      <c r="D47" s="495"/>
      <c r="E47" s="450" t="s">
        <v>408</v>
      </c>
      <c r="F47" s="448" t="s">
        <v>57</v>
      </c>
      <c r="G47" s="78"/>
      <c r="H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</row>
    <row r="48" spans="2:28" ht="15.75" customHeight="1" thickTop="1">
      <c r="B48" s="77"/>
      <c r="C48" s="496" t="s">
        <v>416</v>
      </c>
      <c r="D48" s="497"/>
      <c r="E48" s="499" t="str">
        <f>CONCATENATE(CAL!K10,TEXT(CAL!M12,"0.0000000"),",",TEXT(CAL!M11,"0.0000000"),"/@",TEXT(CAL!M12,"0.0000000"),",",TEXT(CAL!M11,"0.0000000"),CAL!L10)</f>
        <v>https://www.google.ru/maps/dir//6.8300000,-39.2916667/@6.8300000,-39.2916667,10.75z?hl=ru</v>
      </c>
      <c r="F48" s="500"/>
      <c r="G48" s="78"/>
      <c r="H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</row>
    <row r="49" spans="2:28" ht="4.5" customHeight="1" thickBot="1">
      <c r="B49" s="79"/>
      <c r="C49" s="84"/>
      <c r="D49" s="84"/>
      <c r="E49" s="84"/>
      <c r="F49" s="84"/>
      <c r="G49" s="81"/>
      <c r="H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</row>
    <row r="50" spans="2:28" ht="10.5" customHeight="1">
      <c r="F50" s="29"/>
      <c r="G50" s="29"/>
      <c r="H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</row>
    <row r="51" spans="2:28" ht="15.75" customHeight="1">
      <c r="G51" s="29"/>
      <c r="H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</row>
    <row r="52" spans="2:28" ht="15.75" customHeight="1">
      <c r="C52" s="29"/>
      <c r="D52" s="29"/>
      <c r="F52" s="29"/>
      <c r="G52" s="29"/>
      <c r="H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</row>
    <row r="53" spans="2:28" ht="15.75" customHeight="1">
      <c r="C53" s="29"/>
      <c r="D53" s="29"/>
      <c r="E53" s="29"/>
      <c r="F53" s="29"/>
      <c r="G53" s="29"/>
      <c r="H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</row>
    <row r="54" spans="2:28" ht="4.5" customHeight="1">
      <c r="C54" s="29"/>
      <c r="D54" s="29"/>
      <c r="E54" s="29"/>
      <c r="F54" s="29"/>
      <c r="G54" s="29"/>
      <c r="H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</row>
    <row r="55" spans="2:28" ht="15.75" customHeight="1"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</row>
    <row r="56" spans="2:28" ht="15.75" customHeight="1"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</row>
    <row r="57" spans="2:28" ht="15.75" customHeight="1"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</row>
    <row r="58" spans="2:28" ht="15.75" customHeight="1"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</row>
    <row r="59" spans="2:28" ht="15.75" customHeight="1"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</row>
    <row r="60" spans="2:28" ht="15.75" customHeight="1"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</row>
    <row r="61" spans="2:28" ht="15.75" customHeight="1"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</row>
    <row r="62" spans="2:28" ht="15.75" customHeight="1"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</row>
    <row r="63" spans="2:28" ht="15.75" customHeight="1"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</row>
    <row r="64" spans="2:28" ht="15.75" customHeight="1"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</row>
    <row r="65" spans="3:28" ht="15.75" customHeight="1"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</row>
    <row r="66" spans="3:28" ht="15.75" customHeight="1"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</row>
    <row r="67" spans="3:28" ht="15.75" customHeight="1"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</row>
    <row r="68" spans="3:28" ht="15.75" customHeight="1"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</row>
    <row r="69" spans="3:28" ht="15.75" customHeight="1"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</row>
    <row r="70" spans="3:28" ht="15.75" customHeight="1"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</row>
    <row r="71" spans="3:28" ht="15.75" customHeight="1"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</row>
    <row r="72" spans="3:28" ht="15.75" customHeight="1"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</row>
    <row r="73" spans="3:28" ht="15.75" customHeight="1"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</row>
    <row r="74" spans="3:28" ht="15.75" customHeight="1"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</row>
    <row r="75" spans="3:28" ht="15.75" customHeight="1"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</row>
    <row r="76" spans="3:28" ht="15.75" customHeight="1"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</row>
    <row r="77" spans="3:28" ht="15.75" customHeight="1"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</row>
    <row r="78" spans="3:28" ht="15.75" customHeight="1"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</row>
    <row r="79" spans="3:28" ht="15.75" customHeight="1"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</row>
    <row r="80" spans="3:28" ht="15.75" customHeight="1"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</row>
    <row r="81" spans="16:19" ht="15" customHeight="1">
      <c r="P81" s="29"/>
      <c r="Q81" s="29"/>
      <c r="R81" s="29"/>
      <c r="S81" s="29"/>
    </row>
  </sheetData>
  <sheetProtection sheet="1" objects="1" scenarios="1"/>
  <mergeCells count="106">
    <mergeCell ref="P36:Q36"/>
    <mergeCell ref="R36:S36"/>
    <mergeCell ref="O26:P26"/>
    <mergeCell ref="L26:M26"/>
    <mergeCell ref="L23:M24"/>
    <mergeCell ref="L25:M25"/>
    <mergeCell ref="O25:P25"/>
    <mergeCell ref="P37:Q37"/>
    <mergeCell ref="R37:S37"/>
    <mergeCell ref="P33:Q33"/>
    <mergeCell ref="R33:S33"/>
    <mergeCell ref="P34:Q34"/>
    <mergeCell ref="R34:S34"/>
    <mergeCell ref="P35:S35"/>
    <mergeCell ref="P29:S30"/>
    <mergeCell ref="P31:Q31"/>
    <mergeCell ref="R31:S31"/>
    <mergeCell ref="P32:Q32"/>
    <mergeCell ref="R32:S32"/>
    <mergeCell ref="G41:K41"/>
    <mergeCell ref="C29:L29"/>
    <mergeCell ref="C39:F40"/>
    <mergeCell ref="C41:F42"/>
    <mergeCell ref="G42:L42"/>
    <mergeCell ref="G35:K35"/>
    <mergeCell ref="G36:K36"/>
    <mergeCell ref="G37:K37"/>
    <mergeCell ref="G40:K40"/>
    <mergeCell ref="G30:K30"/>
    <mergeCell ref="G31:K31"/>
    <mergeCell ref="C37:D37"/>
    <mergeCell ref="C34:D34"/>
    <mergeCell ref="C35:D35"/>
    <mergeCell ref="C36:D36"/>
    <mergeCell ref="G38:K39"/>
    <mergeCell ref="L38:L39"/>
    <mergeCell ref="G33:K33"/>
    <mergeCell ref="G34:K34"/>
    <mergeCell ref="C30:D30"/>
    <mergeCell ref="C31:D31"/>
    <mergeCell ref="C32:D33"/>
    <mergeCell ref="E32:E33"/>
    <mergeCell ref="G32:K32"/>
    <mergeCell ref="R14:S14"/>
    <mergeCell ref="R15:S15"/>
    <mergeCell ref="R12:S12"/>
    <mergeCell ref="R19:S19"/>
    <mergeCell ref="N23:N24"/>
    <mergeCell ref="J10:K10"/>
    <mergeCell ref="J11:K11"/>
    <mergeCell ref="R3:S3"/>
    <mergeCell ref="R4:S4"/>
    <mergeCell ref="R5:S5"/>
    <mergeCell ref="R11:S11"/>
    <mergeCell ref="P15:Q15"/>
    <mergeCell ref="P11:Q11"/>
    <mergeCell ref="P12:Q12"/>
    <mergeCell ref="O24:P24"/>
    <mergeCell ref="O23:Q23"/>
    <mergeCell ref="J22:Q22"/>
    <mergeCell ref="J23:K23"/>
    <mergeCell ref="P19:Q19"/>
    <mergeCell ref="P14:Q14"/>
    <mergeCell ref="P17:Q18"/>
    <mergeCell ref="R17:S18"/>
    <mergeCell ref="C2:F2"/>
    <mergeCell ref="R10:S10"/>
    <mergeCell ref="J2:L2"/>
    <mergeCell ref="C3:D3"/>
    <mergeCell ref="C4:D4"/>
    <mergeCell ref="C5:D5"/>
    <mergeCell ref="P8:S9"/>
    <mergeCell ref="P2:S2"/>
    <mergeCell ref="C8:F9"/>
    <mergeCell ref="J3:K3"/>
    <mergeCell ref="J4:K4"/>
    <mergeCell ref="J5:K5"/>
    <mergeCell ref="P10:Q10"/>
    <mergeCell ref="P3:Q3"/>
    <mergeCell ref="P4:Q4"/>
    <mergeCell ref="P5:Q5"/>
    <mergeCell ref="J8:L9"/>
    <mergeCell ref="C11:D11"/>
    <mergeCell ref="J16:L16"/>
    <mergeCell ref="J12:K12"/>
    <mergeCell ref="J15:K15"/>
    <mergeCell ref="J14:K14"/>
    <mergeCell ref="C46:D46"/>
    <mergeCell ref="C47:D47"/>
    <mergeCell ref="C48:D48"/>
    <mergeCell ref="C45:F45"/>
    <mergeCell ref="E48:F48"/>
    <mergeCell ref="J13:K13"/>
    <mergeCell ref="C17:D18"/>
    <mergeCell ref="E17:E18"/>
    <mergeCell ref="F17:F18"/>
    <mergeCell ref="C12:D12"/>
    <mergeCell ref="C13:D13"/>
    <mergeCell ref="C14:D14"/>
    <mergeCell ref="C22:F22"/>
    <mergeCell ref="C15:D15"/>
    <mergeCell ref="C16:D16"/>
    <mergeCell ref="C19:D19"/>
    <mergeCell ref="C23:D23"/>
    <mergeCell ref="E23:E24"/>
    <mergeCell ref="F23:F24"/>
  </mergeCells>
  <dataValidations count="3">
    <dataValidation type="list" allowBlank="1" showInputMessage="1" showErrorMessage="1" sqref="E32:E33" xr:uid="{00000000-0002-0000-0200-000000000000}">
      <formula1>"Yes,No"</formula1>
    </dataValidation>
    <dataValidation type="list" allowBlank="1" showInputMessage="1" showErrorMessage="1" sqref="F47" xr:uid="{00000000-0002-0000-0200-000001000000}">
      <formula1>"E,W"</formula1>
    </dataValidation>
    <dataValidation type="list" allowBlank="1" showInputMessage="1" showErrorMessage="1" sqref="F46" xr:uid="{00000000-0002-0000-0200-000002000000}">
      <formula1>"N,S"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X124"/>
  <sheetViews>
    <sheetView showGridLines="0" showRowColHeaders="0" workbookViewId="0">
      <selection activeCell="V6" sqref="V6:W6"/>
    </sheetView>
  </sheetViews>
  <sheetFormatPr defaultRowHeight="12.75"/>
  <cols>
    <col min="1" max="1" width="9.140625" style="339"/>
    <col min="2" max="2" width="13.28515625" style="339" customWidth="1"/>
    <col min="3" max="4" width="9.140625" style="339"/>
    <col min="5" max="5" width="12.7109375" style="339" customWidth="1"/>
    <col min="6" max="6" width="2.85546875" style="339" customWidth="1"/>
    <col min="7" max="7" width="5.5703125" style="339" customWidth="1"/>
    <col min="8" max="8" width="4.5703125" style="339" customWidth="1"/>
    <col min="9" max="9" width="5.140625" style="339" customWidth="1"/>
    <col min="10" max="10" width="2.85546875" style="339" customWidth="1"/>
    <col min="11" max="11" width="3.7109375" style="339" customWidth="1"/>
    <col min="12" max="12" width="4.7109375" style="339" customWidth="1"/>
    <col min="13" max="13" width="4" style="339" customWidth="1"/>
    <col min="14" max="14" width="2.85546875" style="339" customWidth="1"/>
    <col min="15" max="15" width="5.85546875" style="339" customWidth="1"/>
    <col min="16" max="16" width="5.42578125" style="339" customWidth="1"/>
    <col min="17" max="17" width="5.5703125" style="339" customWidth="1"/>
    <col min="18" max="19" width="9.140625" style="339"/>
    <col min="20" max="20" width="0.85546875" style="339" customWidth="1"/>
    <col min="21" max="23" width="12" style="339" customWidth="1"/>
    <col min="24" max="24" width="0.85546875" style="339" customWidth="1"/>
    <col min="25" max="257" width="9.140625" style="339"/>
    <col min="258" max="258" width="13.28515625" style="339" customWidth="1"/>
    <col min="259" max="260" width="9.140625" style="339"/>
    <col min="261" max="261" width="12.7109375" style="339" customWidth="1"/>
    <col min="262" max="262" width="2.85546875" style="339" customWidth="1"/>
    <col min="263" max="263" width="5.5703125" style="339" customWidth="1"/>
    <col min="264" max="264" width="4.5703125" style="339" customWidth="1"/>
    <col min="265" max="265" width="5.140625" style="339" customWidth="1"/>
    <col min="266" max="266" width="2.85546875" style="339" customWidth="1"/>
    <col min="267" max="267" width="3.7109375" style="339" customWidth="1"/>
    <col min="268" max="268" width="4.7109375" style="339" customWidth="1"/>
    <col min="269" max="269" width="4" style="339" customWidth="1"/>
    <col min="270" max="270" width="2.85546875" style="339" customWidth="1"/>
    <col min="271" max="271" width="5.85546875" style="339" customWidth="1"/>
    <col min="272" max="272" width="5.42578125" style="339" customWidth="1"/>
    <col min="273" max="273" width="5.5703125" style="339" customWidth="1"/>
    <col min="274" max="513" width="9.140625" style="339"/>
    <col min="514" max="514" width="13.28515625" style="339" customWidth="1"/>
    <col min="515" max="516" width="9.140625" style="339"/>
    <col min="517" max="517" width="12.7109375" style="339" customWidth="1"/>
    <col min="518" max="518" width="2.85546875" style="339" customWidth="1"/>
    <col min="519" max="519" width="5.5703125" style="339" customWidth="1"/>
    <col min="520" max="520" width="4.5703125" style="339" customWidth="1"/>
    <col min="521" max="521" width="5.140625" style="339" customWidth="1"/>
    <col min="522" max="522" width="2.85546875" style="339" customWidth="1"/>
    <col min="523" max="523" width="3.7109375" style="339" customWidth="1"/>
    <col min="524" max="524" width="4.7109375" style="339" customWidth="1"/>
    <col min="525" max="525" width="4" style="339" customWidth="1"/>
    <col min="526" max="526" width="2.85546875" style="339" customWidth="1"/>
    <col min="527" max="527" width="5.85546875" style="339" customWidth="1"/>
    <col min="528" max="528" width="5.42578125" style="339" customWidth="1"/>
    <col min="529" max="529" width="5.5703125" style="339" customWidth="1"/>
    <col min="530" max="769" width="9.140625" style="339"/>
    <col min="770" max="770" width="13.28515625" style="339" customWidth="1"/>
    <col min="771" max="772" width="9.140625" style="339"/>
    <col min="773" max="773" width="12.7109375" style="339" customWidth="1"/>
    <col min="774" max="774" width="2.85546875" style="339" customWidth="1"/>
    <col min="775" max="775" width="5.5703125" style="339" customWidth="1"/>
    <col min="776" max="776" width="4.5703125" style="339" customWidth="1"/>
    <col min="777" max="777" width="5.140625" style="339" customWidth="1"/>
    <col min="778" max="778" width="2.85546875" style="339" customWidth="1"/>
    <col min="779" max="779" width="3.7109375" style="339" customWidth="1"/>
    <col min="780" max="780" width="4.7109375" style="339" customWidth="1"/>
    <col min="781" max="781" width="4" style="339" customWidth="1"/>
    <col min="782" max="782" width="2.85546875" style="339" customWidth="1"/>
    <col min="783" max="783" width="5.85546875" style="339" customWidth="1"/>
    <col min="784" max="784" width="5.42578125" style="339" customWidth="1"/>
    <col min="785" max="785" width="5.5703125" style="339" customWidth="1"/>
    <col min="786" max="1025" width="9.140625" style="339"/>
    <col min="1026" max="1026" width="13.28515625" style="339" customWidth="1"/>
    <col min="1027" max="1028" width="9.140625" style="339"/>
    <col min="1029" max="1029" width="12.7109375" style="339" customWidth="1"/>
    <col min="1030" max="1030" width="2.85546875" style="339" customWidth="1"/>
    <col min="1031" max="1031" width="5.5703125" style="339" customWidth="1"/>
    <col min="1032" max="1032" width="4.5703125" style="339" customWidth="1"/>
    <col min="1033" max="1033" width="5.140625" style="339" customWidth="1"/>
    <col min="1034" max="1034" width="2.85546875" style="339" customWidth="1"/>
    <col min="1035" max="1035" width="3.7109375" style="339" customWidth="1"/>
    <col min="1036" max="1036" width="4.7109375" style="339" customWidth="1"/>
    <col min="1037" max="1037" width="4" style="339" customWidth="1"/>
    <col min="1038" max="1038" width="2.85546875" style="339" customWidth="1"/>
    <col min="1039" max="1039" width="5.85546875" style="339" customWidth="1"/>
    <col min="1040" max="1040" width="5.42578125" style="339" customWidth="1"/>
    <col min="1041" max="1041" width="5.5703125" style="339" customWidth="1"/>
    <col min="1042" max="1281" width="9.140625" style="339"/>
    <col min="1282" max="1282" width="13.28515625" style="339" customWidth="1"/>
    <col min="1283" max="1284" width="9.140625" style="339"/>
    <col min="1285" max="1285" width="12.7109375" style="339" customWidth="1"/>
    <col min="1286" max="1286" width="2.85546875" style="339" customWidth="1"/>
    <col min="1287" max="1287" width="5.5703125" style="339" customWidth="1"/>
    <col min="1288" max="1288" width="4.5703125" style="339" customWidth="1"/>
    <col min="1289" max="1289" width="5.140625" style="339" customWidth="1"/>
    <col min="1290" max="1290" width="2.85546875" style="339" customWidth="1"/>
    <col min="1291" max="1291" width="3.7109375" style="339" customWidth="1"/>
    <col min="1292" max="1292" width="4.7109375" style="339" customWidth="1"/>
    <col min="1293" max="1293" width="4" style="339" customWidth="1"/>
    <col min="1294" max="1294" width="2.85546875" style="339" customWidth="1"/>
    <col min="1295" max="1295" width="5.85546875" style="339" customWidth="1"/>
    <col min="1296" max="1296" width="5.42578125" style="339" customWidth="1"/>
    <col min="1297" max="1297" width="5.5703125" style="339" customWidth="1"/>
    <col min="1298" max="1537" width="9.140625" style="339"/>
    <col min="1538" max="1538" width="13.28515625" style="339" customWidth="1"/>
    <col min="1539" max="1540" width="9.140625" style="339"/>
    <col min="1541" max="1541" width="12.7109375" style="339" customWidth="1"/>
    <col min="1542" max="1542" width="2.85546875" style="339" customWidth="1"/>
    <col min="1543" max="1543" width="5.5703125" style="339" customWidth="1"/>
    <col min="1544" max="1544" width="4.5703125" style="339" customWidth="1"/>
    <col min="1545" max="1545" width="5.140625" style="339" customWidth="1"/>
    <col min="1546" max="1546" width="2.85546875" style="339" customWidth="1"/>
    <col min="1547" max="1547" width="3.7109375" style="339" customWidth="1"/>
    <col min="1548" max="1548" width="4.7109375" style="339" customWidth="1"/>
    <col min="1549" max="1549" width="4" style="339" customWidth="1"/>
    <col min="1550" max="1550" width="2.85546875" style="339" customWidth="1"/>
    <col min="1551" max="1551" width="5.85546875" style="339" customWidth="1"/>
    <col min="1552" max="1552" width="5.42578125" style="339" customWidth="1"/>
    <col min="1553" max="1553" width="5.5703125" style="339" customWidth="1"/>
    <col min="1554" max="1793" width="9.140625" style="339"/>
    <col min="1794" max="1794" width="13.28515625" style="339" customWidth="1"/>
    <col min="1795" max="1796" width="9.140625" style="339"/>
    <col min="1797" max="1797" width="12.7109375" style="339" customWidth="1"/>
    <col min="1798" max="1798" width="2.85546875" style="339" customWidth="1"/>
    <col min="1799" max="1799" width="5.5703125" style="339" customWidth="1"/>
    <col min="1800" max="1800" width="4.5703125" style="339" customWidth="1"/>
    <col min="1801" max="1801" width="5.140625" style="339" customWidth="1"/>
    <col min="1802" max="1802" width="2.85546875" style="339" customWidth="1"/>
    <col min="1803" max="1803" width="3.7109375" style="339" customWidth="1"/>
    <col min="1804" max="1804" width="4.7109375" style="339" customWidth="1"/>
    <col min="1805" max="1805" width="4" style="339" customWidth="1"/>
    <col min="1806" max="1806" width="2.85546875" style="339" customWidth="1"/>
    <col min="1807" max="1807" width="5.85546875" style="339" customWidth="1"/>
    <col min="1808" max="1808" width="5.42578125" style="339" customWidth="1"/>
    <col min="1809" max="1809" width="5.5703125" style="339" customWidth="1"/>
    <col min="1810" max="2049" width="9.140625" style="339"/>
    <col min="2050" max="2050" width="13.28515625" style="339" customWidth="1"/>
    <col min="2051" max="2052" width="9.140625" style="339"/>
    <col min="2053" max="2053" width="12.7109375" style="339" customWidth="1"/>
    <col min="2054" max="2054" width="2.85546875" style="339" customWidth="1"/>
    <col min="2055" max="2055" width="5.5703125" style="339" customWidth="1"/>
    <col min="2056" max="2056" width="4.5703125" style="339" customWidth="1"/>
    <col min="2057" max="2057" width="5.140625" style="339" customWidth="1"/>
    <col min="2058" max="2058" width="2.85546875" style="339" customWidth="1"/>
    <col min="2059" max="2059" width="3.7109375" style="339" customWidth="1"/>
    <col min="2060" max="2060" width="4.7109375" style="339" customWidth="1"/>
    <col min="2061" max="2061" width="4" style="339" customWidth="1"/>
    <col min="2062" max="2062" width="2.85546875" style="339" customWidth="1"/>
    <col min="2063" max="2063" width="5.85546875" style="339" customWidth="1"/>
    <col min="2064" max="2064" width="5.42578125" style="339" customWidth="1"/>
    <col min="2065" max="2065" width="5.5703125" style="339" customWidth="1"/>
    <col min="2066" max="2305" width="9.140625" style="339"/>
    <col min="2306" max="2306" width="13.28515625" style="339" customWidth="1"/>
    <col min="2307" max="2308" width="9.140625" style="339"/>
    <col min="2309" max="2309" width="12.7109375" style="339" customWidth="1"/>
    <col min="2310" max="2310" width="2.85546875" style="339" customWidth="1"/>
    <col min="2311" max="2311" width="5.5703125" style="339" customWidth="1"/>
    <col min="2312" max="2312" width="4.5703125" style="339" customWidth="1"/>
    <col min="2313" max="2313" width="5.140625" style="339" customWidth="1"/>
    <col min="2314" max="2314" width="2.85546875" style="339" customWidth="1"/>
    <col min="2315" max="2315" width="3.7109375" style="339" customWidth="1"/>
    <col min="2316" max="2316" width="4.7109375" style="339" customWidth="1"/>
    <col min="2317" max="2317" width="4" style="339" customWidth="1"/>
    <col min="2318" max="2318" width="2.85546875" style="339" customWidth="1"/>
    <col min="2319" max="2319" width="5.85546875" style="339" customWidth="1"/>
    <col min="2320" max="2320" width="5.42578125" style="339" customWidth="1"/>
    <col min="2321" max="2321" width="5.5703125" style="339" customWidth="1"/>
    <col min="2322" max="2561" width="9.140625" style="339"/>
    <col min="2562" max="2562" width="13.28515625" style="339" customWidth="1"/>
    <col min="2563" max="2564" width="9.140625" style="339"/>
    <col min="2565" max="2565" width="12.7109375" style="339" customWidth="1"/>
    <col min="2566" max="2566" width="2.85546875" style="339" customWidth="1"/>
    <col min="2567" max="2567" width="5.5703125" style="339" customWidth="1"/>
    <col min="2568" max="2568" width="4.5703125" style="339" customWidth="1"/>
    <col min="2569" max="2569" width="5.140625" style="339" customWidth="1"/>
    <col min="2570" max="2570" width="2.85546875" style="339" customWidth="1"/>
    <col min="2571" max="2571" width="3.7109375" style="339" customWidth="1"/>
    <col min="2572" max="2572" width="4.7109375" style="339" customWidth="1"/>
    <col min="2573" max="2573" width="4" style="339" customWidth="1"/>
    <col min="2574" max="2574" width="2.85546875" style="339" customWidth="1"/>
    <col min="2575" max="2575" width="5.85546875" style="339" customWidth="1"/>
    <col min="2576" max="2576" width="5.42578125" style="339" customWidth="1"/>
    <col min="2577" max="2577" width="5.5703125" style="339" customWidth="1"/>
    <col min="2578" max="2817" width="9.140625" style="339"/>
    <col min="2818" max="2818" width="13.28515625" style="339" customWidth="1"/>
    <col min="2819" max="2820" width="9.140625" style="339"/>
    <col min="2821" max="2821" width="12.7109375" style="339" customWidth="1"/>
    <col min="2822" max="2822" width="2.85546875" style="339" customWidth="1"/>
    <col min="2823" max="2823" width="5.5703125" style="339" customWidth="1"/>
    <col min="2824" max="2824" width="4.5703125" style="339" customWidth="1"/>
    <col min="2825" max="2825" width="5.140625" style="339" customWidth="1"/>
    <col min="2826" max="2826" width="2.85546875" style="339" customWidth="1"/>
    <col min="2827" max="2827" width="3.7109375" style="339" customWidth="1"/>
    <col min="2828" max="2828" width="4.7109375" style="339" customWidth="1"/>
    <col min="2829" max="2829" width="4" style="339" customWidth="1"/>
    <col min="2830" max="2830" width="2.85546875" style="339" customWidth="1"/>
    <col min="2831" max="2831" width="5.85546875" style="339" customWidth="1"/>
    <col min="2832" max="2832" width="5.42578125" style="339" customWidth="1"/>
    <col min="2833" max="2833" width="5.5703125" style="339" customWidth="1"/>
    <col min="2834" max="3073" width="9.140625" style="339"/>
    <col min="3074" max="3074" width="13.28515625" style="339" customWidth="1"/>
    <col min="3075" max="3076" width="9.140625" style="339"/>
    <col min="3077" max="3077" width="12.7109375" style="339" customWidth="1"/>
    <col min="3078" max="3078" width="2.85546875" style="339" customWidth="1"/>
    <col min="3079" max="3079" width="5.5703125" style="339" customWidth="1"/>
    <col min="3080" max="3080" width="4.5703125" style="339" customWidth="1"/>
    <col min="3081" max="3081" width="5.140625" style="339" customWidth="1"/>
    <col min="3082" max="3082" width="2.85546875" style="339" customWidth="1"/>
    <col min="3083" max="3083" width="3.7109375" style="339" customWidth="1"/>
    <col min="3084" max="3084" width="4.7109375" style="339" customWidth="1"/>
    <col min="3085" max="3085" width="4" style="339" customWidth="1"/>
    <col min="3086" max="3086" width="2.85546875" style="339" customWidth="1"/>
    <col min="3087" max="3087" width="5.85546875" style="339" customWidth="1"/>
    <col min="3088" max="3088" width="5.42578125" style="339" customWidth="1"/>
    <col min="3089" max="3089" width="5.5703125" style="339" customWidth="1"/>
    <col min="3090" max="3329" width="9.140625" style="339"/>
    <col min="3330" max="3330" width="13.28515625" style="339" customWidth="1"/>
    <col min="3331" max="3332" width="9.140625" style="339"/>
    <col min="3333" max="3333" width="12.7109375" style="339" customWidth="1"/>
    <col min="3334" max="3334" width="2.85546875" style="339" customWidth="1"/>
    <col min="3335" max="3335" width="5.5703125" style="339" customWidth="1"/>
    <col min="3336" max="3336" width="4.5703125" style="339" customWidth="1"/>
    <col min="3337" max="3337" width="5.140625" style="339" customWidth="1"/>
    <col min="3338" max="3338" width="2.85546875" style="339" customWidth="1"/>
    <col min="3339" max="3339" width="3.7109375" style="339" customWidth="1"/>
    <col min="3340" max="3340" width="4.7109375" style="339" customWidth="1"/>
    <col min="3341" max="3341" width="4" style="339" customWidth="1"/>
    <col min="3342" max="3342" width="2.85546875" style="339" customWidth="1"/>
    <col min="3343" max="3343" width="5.85546875" style="339" customWidth="1"/>
    <col min="3344" max="3344" width="5.42578125" style="339" customWidth="1"/>
    <col min="3345" max="3345" width="5.5703125" style="339" customWidth="1"/>
    <col min="3346" max="3585" width="9.140625" style="339"/>
    <col min="3586" max="3586" width="13.28515625" style="339" customWidth="1"/>
    <col min="3587" max="3588" width="9.140625" style="339"/>
    <col min="3589" max="3589" width="12.7109375" style="339" customWidth="1"/>
    <col min="3590" max="3590" width="2.85546875" style="339" customWidth="1"/>
    <col min="3591" max="3591" width="5.5703125" style="339" customWidth="1"/>
    <col min="3592" max="3592" width="4.5703125" style="339" customWidth="1"/>
    <col min="3593" max="3593" width="5.140625" style="339" customWidth="1"/>
    <col min="3594" max="3594" width="2.85546875" style="339" customWidth="1"/>
    <col min="3595" max="3595" width="3.7109375" style="339" customWidth="1"/>
    <col min="3596" max="3596" width="4.7109375" style="339" customWidth="1"/>
    <col min="3597" max="3597" width="4" style="339" customWidth="1"/>
    <col min="3598" max="3598" width="2.85546875" style="339" customWidth="1"/>
    <col min="3599" max="3599" width="5.85546875" style="339" customWidth="1"/>
    <col min="3600" max="3600" width="5.42578125" style="339" customWidth="1"/>
    <col min="3601" max="3601" width="5.5703125" style="339" customWidth="1"/>
    <col min="3602" max="3841" width="9.140625" style="339"/>
    <col min="3842" max="3842" width="13.28515625" style="339" customWidth="1"/>
    <col min="3843" max="3844" width="9.140625" style="339"/>
    <col min="3845" max="3845" width="12.7109375" style="339" customWidth="1"/>
    <col min="3846" max="3846" width="2.85546875" style="339" customWidth="1"/>
    <col min="3847" max="3847" width="5.5703125" style="339" customWidth="1"/>
    <col min="3848" max="3848" width="4.5703125" style="339" customWidth="1"/>
    <col min="3849" max="3849" width="5.140625" style="339" customWidth="1"/>
    <col min="3850" max="3850" width="2.85546875" style="339" customWidth="1"/>
    <col min="3851" max="3851" width="3.7109375" style="339" customWidth="1"/>
    <col min="3852" max="3852" width="4.7109375" style="339" customWidth="1"/>
    <col min="3853" max="3853" width="4" style="339" customWidth="1"/>
    <col min="3854" max="3854" width="2.85546875" style="339" customWidth="1"/>
    <col min="3855" max="3855" width="5.85546875" style="339" customWidth="1"/>
    <col min="3856" max="3856" width="5.42578125" style="339" customWidth="1"/>
    <col min="3857" max="3857" width="5.5703125" style="339" customWidth="1"/>
    <col min="3858" max="4097" width="9.140625" style="339"/>
    <col min="4098" max="4098" width="13.28515625" style="339" customWidth="1"/>
    <col min="4099" max="4100" width="9.140625" style="339"/>
    <col min="4101" max="4101" width="12.7109375" style="339" customWidth="1"/>
    <col min="4102" max="4102" width="2.85546875" style="339" customWidth="1"/>
    <col min="4103" max="4103" width="5.5703125" style="339" customWidth="1"/>
    <col min="4104" max="4104" width="4.5703125" style="339" customWidth="1"/>
    <col min="4105" max="4105" width="5.140625" style="339" customWidth="1"/>
    <col min="4106" max="4106" width="2.85546875" style="339" customWidth="1"/>
    <col min="4107" max="4107" width="3.7109375" style="339" customWidth="1"/>
    <col min="4108" max="4108" width="4.7109375" style="339" customWidth="1"/>
    <col min="4109" max="4109" width="4" style="339" customWidth="1"/>
    <col min="4110" max="4110" width="2.85546875" style="339" customWidth="1"/>
    <col min="4111" max="4111" width="5.85546875" style="339" customWidth="1"/>
    <col min="4112" max="4112" width="5.42578125" style="339" customWidth="1"/>
    <col min="4113" max="4113" width="5.5703125" style="339" customWidth="1"/>
    <col min="4114" max="4353" width="9.140625" style="339"/>
    <col min="4354" max="4354" width="13.28515625" style="339" customWidth="1"/>
    <col min="4355" max="4356" width="9.140625" style="339"/>
    <col min="4357" max="4357" width="12.7109375" style="339" customWidth="1"/>
    <col min="4358" max="4358" width="2.85546875" style="339" customWidth="1"/>
    <col min="4359" max="4359" width="5.5703125" style="339" customWidth="1"/>
    <col min="4360" max="4360" width="4.5703125" style="339" customWidth="1"/>
    <col min="4361" max="4361" width="5.140625" style="339" customWidth="1"/>
    <col min="4362" max="4362" width="2.85546875" style="339" customWidth="1"/>
    <col min="4363" max="4363" width="3.7109375" style="339" customWidth="1"/>
    <col min="4364" max="4364" width="4.7109375" style="339" customWidth="1"/>
    <col min="4365" max="4365" width="4" style="339" customWidth="1"/>
    <col min="4366" max="4366" width="2.85546875" style="339" customWidth="1"/>
    <col min="4367" max="4367" width="5.85546875" style="339" customWidth="1"/>
    <col min="4368" max="4368" width="5.42578125" style="339" customWidth="1"/>
    <col min="4369" max="4369" width="5.5703125" style="339" customWidth="1"/>
    <col min="4370" max="4609" width="9.140625" style="339"/>
    <col min="4610" max="4610" width="13.28515625" style="339" customWidth="1"/>
    <col min="4611" max="4612" width="9.140625" style="339"/>
    <col min="4613" max="4613" width="12.7109375" style="339" customWidth="1"/>
    <col min="4614" max="4614" width="2.85546875" style="339" customWidth="1"/>
    <col min="4615" max="4615" width="5.5703125" style="339" customWidth="1"/>
    <col min="4616" max="4616" width="4.5703125" style="339" customWidth="1"/>
    <col min="4617" max="4617" width="5.140625" style="339" customWidth="1"/>
    <col min="4618" max="4618" width="2.85546875" style="339" customWidth="1"/>
    <col min="4619" max="4619" width="3.7109375" style="339" customWidth="1"/>
    <col min="4620" max="4620" width="4.7109375" style="339" customWidth="1"/>
    <col min="4621" max="4621" width="4" style="339" customWidth="1"/>
    <col min="4622" max="4622" width="2.85546875" style="339" customWidth="1"/>
    <col min="4623" max="4623" width="5.85546875" style="339" customWidth="1"/>
    <col min="4624" max="4624" width="5.42578125" style="339" customWidth="1"/>
    <col min="4625" max="4625" width="5.5703125" style="339" customWidth="1"/>
    <col min="4626" max="4865" width="9.140625" style="339"/>
    <col min="4866" max="4866" width="13.28515625" style="339" customWidth="1"/>
    <col min="4867" max="4868" width="9.140625" style="339"/>
    <col min="4869" max="4869" width="12.7109375" style="339" customWidth="1"/>
    <col min="4870" max="4870" width="2.85546875" style="339" customWidth="1"/>
    <col min="4871" max="4871" width="5.5703125" style="339" customWidth="1"/>
    <col min="4872" max="4872" width="4.5703125" style="339" customWidth="1"/>
    <col min="4873" max="4873" width="5.140625" style="339" customWidth="1"/>
    <col min="4874" max="4874" width="2.85546875" style="339" customWidth="1"/>
    <col min="4875" max="4875" width="3.7109375" style="339" customWidth="1"/>
    <col min="4876" max="4876" width="4.7109375" style="339" customWidth="1"/>
    <col min="4877" max="4877" width="4" style="339" customWidth="1"/>
    <col min="4878" max="4878" width="2.85546875" style="339" customWidth="1"/>
    <col min="4879" max="4879" width="5.85546875" style="339" customWidth="1"/>
    <col min="4880" max="4880" width="5.42578125" style="339" customWidth="1"/>
    <col min="4881" max="4881" width="5.5703125" style="339" customWidth="1"/>
    <col min="4882" max="5121" width="9.140625" style="339"/>
    <col min="5122" max="5122" width="13.28515625" style="339" customWidth="1"/>
    <col min="5123" max="5124" width="9.140625" style="339"/>
    <col min="5125" max="5125" width="12.7109375" style="339" customWidth="1"/>
    <col min="5126" max="5126" width="2.85546875" style="339" customWidth="1"/>
    <col min="5127" max="5127" width="5.5703125" style="339" customWidth="1"/>
    <col min="5128" max="5128" width="4.5703125" style="339" customWidth="1"/>
    <col min="5129" max="5129" width="5.140625" style="339" customWidth="1"/>
    <col min="5130" max="5130" width="2.85546875" style="339" customWidth="1"/>
    <col min="5131" max="5131" width="3.7109375" style="339" customWidth="1"/>
    <col min="5132" max="5132" width="4.7109375" style="339" customWidth="1"/>
    <col min="5133" max="5133" width="4" style="339" customWidth="1"/>
    <col min="5134" max="5134" width="2.85546875" style="339" customWidth="1"/>
    <col min="5135" max="5135" width="5.85546875" style="339" customWidth="1"/>
    <col min="5136" max="5136" width="5.42578125" style="339" customWidth="1"/>
    <col min="5137" max="5137" width="5.5703125" style="339" customWidth="1"/>
    <col min="5138" max="5377" width="9.140625" style="339"/>
    <col min="5378" max="5378" width="13.28515625" style="339" customWidth="1"/>
    <col min="5379" max="5380" width="9.140625" style="339"/>
    <col min="5381" max="5381" width="12.7109375" style="339" customWidth="1"/>
    <col min="5382" max="5382" width="2.85546875" style="339" customWidth="1"/>
    <col min="5383" max="5383" width="5.5703125" style="339" customWidth="1"/>
    <col min="5384" max="5384" width="4.5703125" style="339" customWidth="1"/>
    <col min="5385" max="5385" width="5.140625" style="339" customWidth="1"/>
    <col min="5386" max="5386" width="2.85546875" style="339" customWidth="1"/>
    <col min="5387" max="5387" width="3.7109375" style="339" customWidth="1"/>
    <col min="5388" max="5388" width="4.7109375" style="339" customWidth="1"/>
    <col min="5389" max="5389" width="4" style="339" customWidth="1"/>
    <col min="5390" max="5390" width="2.85546875" style="339" customWidth="1"/>
    <col min="5391" max="5391" width="5.85546875" style="339" customWidth="1"/>
    <col min="5392" max="5392" width="5.42578125" style="339" customWidth="1"/>
    <col min="5393" max="5393" width="5.5703125" style="339" customWidth="1"/>
    <col min="5394" max="5633" width="9.140625" style="339"/>
    <col min="5634" max="5634" width="13.28515625" style="339" customWidth="1"/>
    <col min="5635" max="5636" width="9.140625" style="339"/>
    <col min="5637" max="5637" width="12.7109375" style="339" customWidth="1"/>
    <col min="5638" max="5638" width="2.85546875" style="339" customWidth="1"/>
    <col min="5639" max="5639" width="5.5703125" style="339" customWidth="1"/>
    <col min="5640" max="5640" width="4.5703125" style="339" customWidth="1"/>
    <col min="5641" max="5641" width="5.140625" style="339" customWidth="1"/>
    <col min="5642" max="5642" width="2.85546875" style="339" customWidth="1"/>
    <col min="5643" max="5643" width="3.7109375" style="339" customWidth="1"/>
    <col min="5644" max="5644" width="4.7109375" style="339" customWidth="1"/>
    <col min="5645" max="5645" width="4" style="339" customWidth="1"/>
    <col min="5646" max="5646" width="2.85546875" style="339" customWidth="1"/>
    <col min="5647" max="5647" width="5.85546875" style="339" customWidth="1"/>
    <col min="5648" max="5648" width="5.42578125" style="339" customWidth="1"/>
    <col min="5649" max="5649" width="5.5703125" style="339" customWidth="1"/>
    <col min="5650" max="5889" width="9.140625" style="339"/>
    <col min="5890" max="5890" width="13.28515625" style="339" customWidth="1"/>
    <col min="5891" max="5892" width="9.140625" style="339"/>
    <col min="5893" max="5893" width="12.7109375" style="339" customWidth="1"/>
    <col min="5894" max="5894" width="2.85546875" style="339" customWidth="1"/>
    <col min="5895" max="5895" width="5.5703125" style="339" customWidth="1"/>
    <col min="5896" max="5896" width="4.5703125" style="339" customWidth="1"/>
    <col min="5897" max="5897" width="5.140625" style="339" customWidth="1"/>
    <col min="5898" max="5898" width="2.85546875" style="339" customWidth="1"/>
    <col min="5899" max="5899" width="3.7109375" style="339" customWidth="1"/>
    <col min="5900" max="5900" width="4.7109375" style="339" customWidth="1"/>
    <col min="5901" max="5901" width="4" style="339" customWidth="1"/>
    <col min="5902" max="5902" width="2.85546875" style="339" customWidth="1"/>
    <col min="5903" max="5903" width="5.85546875" style="339" customWidth="1"/>
    <col min="5904" max="5904" width="5.42578125" style="339" customWidth="1"/>
    <col min="5905" max="5905" width="5.5703125" style="339" customWidth="1"/>
    <col min="5906" max="6145" width="9.140625" style="339"/>
    <col min="6146" max="6146" width="13.28515625" style="339" customWidth="1"/>
    <col min="6147" max="6148" width="9.140625" style="339"/>
    <col min="6149" max="6149" width="12.7109375" style="339" customWidth="1"/>
    <col min="6150" max="6150" width="2.85546875" style="339" customWidth="1"/>
    <col min="6151" max="6151" width="5.5703125" style="339" customWidth="1"/>
    <col min="6152" max="6152" width="4.5703125" style="339" customWidth="1"/>
    <col min="6153" max="6153" width="5.140625" style="339" customWidth="1"/>
    <col min="6154" max="6154" width="2.85546875" style="339" customWidth="1"/>
    <col min="6155" max="6155" width="3.7109375" style="339" customWidth="1"/>
    <col min="6156" max="6156" width="4.7109375" style="339" customWidth="1"/>
    <col min="6157" max="6157" width="4" style="339" customWidth="1"/>
    <col min="6158" max="6158" width="2.85546875" style="339" customWidth="1"/>
    <col min="6159" max="6159" width="5.85546875" style="339" customWidth="1"/>
    <col min="6160" max="6160" width="5.42578125" style="339" customWidth="1"/>
    <col min="6161" max="6161" width="5.5703125" style="339" customWidth="1"/>
    <col min="6162" max="6401" width="9.140625" style="339"/>
    <col min="6402" max="6402" width="13.28515625" style="339" customWidth="1"/>
    <col min="6403" max="6404" width="9.140625" style="339"/>
    <col min="6405" max="6405" width="12.7109375" style="339" customWidth="1"/>
    <col min="6406" max="6406" width="2.85546875" style="339" customWidth="1"/>
    <col min="6407" max="6407" width="5.5703125" style="339" customWidth="1"/>
    <col min="6408" max="6408" width="4.5703125" style="339" customWidth="1"/>
    <col min="6409" max="6409" width="5.140625" style="339" customWidth="1"/>
    <col min="6410" max="6410" width="2.85546875" style="339" customWidth="1"/>
    <col min="6411" max="6411" width="3.7109375" style="339" customWidth="1"/>
    <col min="6412" max="6412" width="4.7109375" style="339" customWidth="1"/>
    <col min="6413" max="6413" width="4" style="339" customWidth="1"/>
    <col min="6414" max="6414" width="2.85546875" style="339" customWidth="1"/>
    <col min="6415" max="6415" width="5.85546875" style="339" customWidth="1"/>
    <col min="6416" max="6416" width="5.42578125" style="339" customWidth="1"/>
    <col min="6417" max="6417" width="5.5703125" style="339" customWidth="1"/>
    <col min="6418" max="6657" width="9.140625" style="339"/>
    <col min="6658" max="6658" width="13.28515625" style="339" customWidth="1"/>
    <col min="6659" max="6660" width="9.140625" style="339"/>
    <col min="6661" max="6661" width="12.7109375" style="339" customWidth="1"/>
    <col min="6662" max="6662" width="2.85546875" style="339" customWidth="1"/>
    <col min="6663" max="6663" width="5.5703125" style="339" customWidth="1"/>
    <col min="6664" max="6664" width="4.5703125" style="339" customWidth="1"/>
    <col min="6665" max="6665" width="5.140625" style="339" customWidth="1"/>
    <col min="6666" max="6666" width="2.85546875" style="339" customWidth="1"/>
    <col min="6667" max="6667" width="3.7109375" style="339" customWidth="1"/>
    <col min="6668" max="6668" width="4.7109375" style="339" customWidth="1"/>
    <col min="6669" max="6669" width="4" style="339" customWidth="1"/>
    <col min="6670" max="6670" width="2.85546875" style="339" customWidth="1"/>
    <col min="6671" max="6671" width="5.85546875" style="339" customWidth="1"/>
    <col min="6672" max="6672" width="5.42578125" style="339" customWidth="1"/>
    <col min="6673" max="6673" width="5.5703125" style="339" customWidth="1"/>
    <col min="6674" max="6913" width="9.140625" style="339"/>
    <col min="6914" max="6914" width="13.28515625" style="339" customWidth="1"/>
    <col min="6915" max="6916" width="9.140625" style="339"/>
    <col min="6917" max="6917" width="12.7109375" style="339" customWidth="1"/>
    <col min="6918" max="6918" width="2.85546875" style="339" customWidth="1"/>
    <col min="6919" max="6919" width="5.5703125" style="339" customWidth="1"/>
    <col min="6920" max="6920" width="4.5703125" style="339" customWidth="1"/>
    <col min="6921" max="6921" width="5.140625" style="339" customWidth="1"/>
    <col min="6922" max="6922" width="2.85546875" style="339" customWidth="1"/>
    <col min="6923" max="6923" width="3.7109375" style="339" customWidth="1"/>
    <col min="6924" max="6924" width="4.7109375" style="339" customWidth="1"/>
    <col min="6925" max="6925" width="4" style="339" customWidth="1"/>
    <col min="6926" max="6926" width="2.85546875" style="339" customWidth="1"/>
    <col min="6927" max="6927" width="5.85546875" style="339" customWidth="1"/>
    <col min="6928" max="6928" width="5.42578125" style="339" customWidth="1"/>
    <col min="6929" max="6929" width="5.5703125" style="339" customWidth="1"/>
    <col min="6930" max="7169" width="9.140625" style="339"/>
    <col min="7170" max="7170" width="13.28515625" style="339" customWidth="1"/>
    <col min="7171" max="7172" width="9.140625" style="339"/>
    <col min="7173" max="7173" width="12.7109375" style="339" customWidth="1"/>
    <col min="7174" max="7174" width="2.85546875" style="339" customWidth="1"/>
    <col min="7175" max="7175" width="5.5703125" style="339" customWidth="1"/>
    <col min="7176" max="7176" width="4.5703125" style="339" customWidth="1"/>
    <col min="7177" max="7177" width="5.140625" style="339" customWidth="1"/>
    <col min="7178" max="7178" width="2.85546875" style="339" customWidth="1"/>
    <col min="7179" max="7179" width="3.7109375" style="339" customWidth="1"/>
    <col min="7180" max="7180" width="4.7109375" style="339" customWidth="1"/>
    <col min="7181" max="7181" width="4" style="339" customWidth="1"/>
    <col min="7182" max="7182" width="2.85546875" style="339" customWidth="1"/>
    <col min="7183" max="7183" width="5.85546875" style="339" customWidth="1"/>
    <col min="7184" max="7184" width="5.42578125" style="339" customWidth="1"/>
    <col min="7185" max="7185" width="5.5703125" style="339" customWidth="1"/>
    <col min="7186" max="7425" width="9.140625" style="339"/>
    <col min="7426" max="7426" width="13.28515625" style="339" customWidth="1"/>
    <col min="7427" max="7428" width="9.140625" style="339"/>
    <col min="7429" max="7429" width="12.7109375" style="339" customWidth="1"/>
    <col min="7430" max="7430" width="2.85546875" style="339" customWidth="1"/>
    <col min="7431" max="7431" width="5.5703125" style="339" customWidth="1"/>
    <col min="7432" max="7432" width="4.5703125" style="339" customWidth="1"/>
    <col min="7433" max="7433" width="5.140625" style="339" customWidth="1"/>
    <col min="7434" max="7434" width="2.85546875" style="339" customWidth="1"/>
    <col min="7435" max="7435" width="3.7109375" style="339" customWidth="1"/>
    <col min="7436" max="7436" width="4.7109375" style="339" customWidth="1"/>
    <col min="7437" max="7437" width="4" style="339" customWidth="1"/>
    <col min="7438" max="7438" width="2.85546875" style="339" customWidth="1"/>
    <col min="7439" max="7439" width="5.85546875" style="339" customWidth="1"/>
    <col min="7440" max="7440" width="5.42578125" style="339" customWidth="1"/>
    <col min="7441" max="7441" width="5.5703125" style="339" customWidth="1"/>
    <col min="7442" max="7681" width="9.140625" style="339"/>
    <col min="7682" max="7682" width="13.28515625" style="339" customWidth="1"/>
    <col min="7683" max="7684" width="9.140625" style="339"/>
    <col min="7685" max="7685" width="12.7109375" style="339" customWidth="1"/>
    <col min="7686" max="7686" width="2.85546875" style="339" customWidth="1"/>
    <col min="7687" max="7687" width="5.5703125" style="339" customWidth="1"/>
    <col min="7688" max="7688" width="4.5703125" style="339" customWidth="1"/>
    <col min="7689" max="7689" width="5.140625" style="339" customWidth="1"/>
    <col min="7690" max="7690" width="2.85546875" style="339" customWidth="1"/>
    <col min="7691" max="7691" width="3.7109375" style="339" customWidth="1"/>
    <col min="7692" max="7692" width="4.7109375" style="339" customWidth="1"/>
    <col min="7693" max="7693" width="4" style="339" customWidth="1"/>
    <col min="7694" max="7694" width="2.85546875" style="339" customWidth="1"/>
    <col min="7695" max="7695" width="5.85546875" style="339" customWidth="1"/>
    <col min="7696" max="7696" width="5.42578125" style="339" customWidth="1"/>
    <col min="7697" max="7697" width="5.5703125" style="339" customWidth="1"/>
    <col min="7698" max="7937" width="9.140625" style="339"/>
    <col min="7938" max="7938" width="13.28515625" style="339" customWidth="1"/>
    <col min="7939" max="7940" width="9.140625" style="339"/>
    <col min="7941" max="7941" width="12.7109375" style="339" customWidth="1"/>
    <col min="7942" max="7942" width="2.85546875" style="339" customWidth="1"/>
    <col min="7943" max="7943" width="5.5703125" style="339" customWidth="1"/>
    <col min="7944" max="7944" width="4.5703125" style="339" customWidth="1"/>
    <col min="7945" max="7945" width="5.140625" style="339" customWidth="1"/>
    <col min="7946" max="7946" width="2.85546875" style="339" customWidth="1"/>
    <col min="7947" max="7947" width="3.7109375" style="339" customWidth="1"/>
    <col min="7948" max="7948" width="4.7109375" style="339" customWidth="1"/>
    <col min="7949" max="7949" width="4" style="339" customWidth="1"/>
    <col min="7950" max="7950" width="2.85546875" style="339" customWidth="1"/>
    <col min="7951" max="7951" width="5.85546875" style="339" customWidth="1"/>
    <col min="7952" max="7952" width="5.42578125" style="339" customWidth="1"/>
    <col min="7953" max="7953" width="5.5703125" style="339" customWidth="1"/>
    <col min="7954" max="8193" width="9.140625" style="339"/>
    <col min="8194" max="8194" width="13.28515625" style="339" customWidth="1"/>
    <col min="8195" max="8196" width="9.140625" style="339"/>
    <col min="8197" max="8197" width="12.7109375" style="339" customWidth="1"/>
    <col min="8198" max="8198" width="2.85546875" style="339" customWidth="1"/>
    <col min="8199" max="8199" width="5.5703125" style="339" customWidth="1"/>
    <col min="8200" max="8200" width="4.5703125" style="339" customWidth="1"/>
    <col min="8201" max="8201" width="5.140625" style="339" customWidth="1"/>
    <col min="8202" max="8202" width="2.85546875" style="339" customWidth="1"/>
    <col min="8203" max="8203" width="3.7109375" style="339" customWidth="1"/>
    <col min="8204" max="8204" width="4.7109375" style="339" customWidth="1"/>
    <col min="8205" max="8205" width="4" style="339" customWidth="1"/>
    <col min="8206" max="8206" width="2.85546875" style="339" customWidth="1"/>
    <col min="8207" max="8207" width="5.85546875" style="339" customWidth="1"/>
    <col min="8208" max="8208" width="5.42578125" style="339" customWidth="1"/>
    <col min="8209" max="8209" width="5.5703125" style="339" customWidth="1"/>
    <col min="8210" max="8449" width="9.140625" style="339"/>
    <col min="8450" max="8450" width="13.28515625" style="339" customWidth="1"/>
    <col min="8451" max="8452" width="9.140625" style="339"/>
    <col min="8453" max="8453" width="12.7109375" style="339" customWidth="1"/>
    <col min="8454" max="8454" width="2.85546875" style="339" customWidth="1"/>
    <col min="8455" max="8455" width="5.5703125" style="339" customWidth="1"/>
    <col min="8456" max="8456" width="4.5703125" style="339" customWidth="1"/>
    <col min="8457" max="8457" width="5.140625" style="339" customWidth="1"/>
    <col min="8458" max="8458" width="2.85546875" style="339" customWidth="1"/>
    <col min="8459" max="8459" width="3.7109375" style="339" customWidth="1"/>
    <col min="8460" max="8460" width="4.7109375" style="339" customWidth="1"/>
    <col min="8461" max="8461" width="4" style="339" customWidth="1"/>
    <col min="8462" max="8462" width="2.85546875" style="339" customWidth="1"/>
    <col min="8463" max="8463" width="5.85546875" style="339" customWidth="1"/>
    <col min="8464" max="8464" width="5.42578125" style="339" customWidth="1"/>
    <col min="8465" max="8465" width="5.5703125" style="339" customWidth="1"/>
    <col min="8466" max="8705" width="9.140625" style="339"/>
    <col min="8706" max="8706" width="13.28515625" style="339" customWidth="1"/>
    <col min="8707" max="8708" width="9.140625" style="339"/>
    <col min="8709" max="8709" width="12.7109375" style="339" customWidth="1"/>
    <col min="8710" max="8710" width="2.85546875" style="339" customWidth="1"/>
    <col min="8711" max="8711" width="5.5703125" style="339" customWidth="1"/>
    <col min="8712" max="8712" width="4.5703125" style="339" customWidth="1"/>
    <col min="8713" max="8713" width="5.140625" style="339" customWidth="1"/>
    <col min="8714" max="8714" width="2.85546875" style="339" customWidth="1"/>
    <col min="8715" max="8715" width="3.7109375" style="339" customWidth="1"/>
    <col min="8716" max="8716" width="4.7109375" style="339" customWidth="1"/>
    <col min="8717" max="8717" width="4" style="339" customWidth="1"/>
    <col min="8718" max="8718" width="2.85546875" style="339" customWidth="1"/>
    <col min="8719" max="8719" width="5.85546875" style="339" customWidth="1"/>
    <col min="8720" max="8720" width="5.42578125" style="339" customWidth="1"/>
    <col min="8721" max="8721" width="5.5703125" style="339" customWidth="1"/>
    <col min="8722" max="8961" width="9.140625" style="339"/>
    <col min="8962" max="8962" width="13.28515625" style="339" customWidth="1"/>
    <col min="8963" max="8964" width="9.140625" style="339"/>
    <col min="8965" max="8965" width="12.7109375" style="339" customWidth="1"/>
    <col min="8966" max="8966" width="2.85546875" style="339" customWidth="1"/>
    <col min="8967" max="8967" width="5.5703125" style="339" customWidth="1"/>
    <col min="8968" max="8968" width="4.5703125" style="339" customWidth="1"/>
    <col min="8969" max="8969" width="5.140625" style="339" customWidth="1"/>
    <col min="8970" max="8970" width="2.85546875" style="339" customWidth="1"/>
    <col min="8971" max="8971" width="3.7109375" style="339" customWidth="1"/>
    <col min="8972" max="8972" width="4.7109375" style="339" customWidth="1"/>
    <col min="8973" max="8973" width="4" style="339" customWidth="1"/>
    <col min="8974" max="8974" width="2.85546875" style="339" customWidth="1"/>
    <col min="8975" max="8975" width="5.85546875" style="339" customWidth="1"/>
    <col min="8976" max="8976" width="5.42578125" style="339" customWidth="1"/>
    <col min="8977" max="8977" width="5.5703125" style="339" customWidth="1"/>
    <col min="8978" max="9217" width="9.140625" style="339"/>
    <col min="9218" max="9218" width="13.28515625" style="339" customWidth="1"/>
    <col min="9219" max="9220" width="9.140625" style="339"/>
    <col min="9221" max="9221" width="12.7109375" style="339" customWidth="1"/>
    <col min="9222" max="9222" width="2.85546875" style="339" customWidth="1"/>
    <col min="9223" max="9223" width="5.5703125" style="339" customWidth="1"/>
    <col min="9224" max="9224" width="4.5703125" style="339" customWidth="1"/>
    <col min="9225" max="9225" width="5.140625" style="339" customWidth="1"/>
    <col min="9226" max="9226" width="2.85546875" style="339" customWidth="1"/>
    <col min="9227" max="9227" width="3.7109375" style="339" customWidth="1"/>
    <col min="9228" max="9228" width="4.7109375" style="339" customWidth="1"/>
    <col min="9229" max="9229" width="4" style="339" customWidth="1"/>
    <col min="9230" max="9230" width="2.85546875" style="339" customWidth="1"/>
    <col min="9231" max="9231" width="5.85546875" style="339" customWidth="1"/>
    <col min="9232" max="9232" width="5.42578125" style="339" customWidth="1"/>
    <col min="9233" max="9233" width="5.5703125" style="339" customWidth="1"/>
    <col min="9234" max="9473" width="9.140625" style="339"/>
    <col min="9474" max="9474" width="13.28515625" style="339" customWidth="1"/>
    <col min="9475" max="9476" width="9.140625" style="339"/>
    <col min="9477" max="9477" width="12.7109375" style="339" customWidth="1"/>
    <col min="9478" max="9478" width="2.85546875" style="339" customWidth="1"/>
    <col min="9479" max="9479" width="5.5703125" style="339" customWidth="1"/>
    <col min="9480" max="9480" width="4.5703125" style="339" customWidth="1"/>
    <col min="9481" max="9481" width="5.140625" style="339" customWidth="1"/>
    <col min="9482" max="9482" width="2.85546875" style="339" customWidth="1"/>
    <col min="9483" max="9483" width="3.7109375" style="339" customWidth="1"/>
    <col min="9484" max="9484" width="4.7109375" style="339" customWidth="1"/>
    <col min="9485" max="9485" width="4" style="339" customWidth="1"/>
    <col min="9486" max="9486" width="2.85546875" style="339" customWidth="1"/>
    <col min="9487" max="9487" width="5.85546875" style="339" customWidth="1"/>
    <col min="9488" max="9488" width="5.42578125" style="339" customWidth="1"/>
    <col min="9489" max="9489" width="5.5703125" style="339" customWidth="1"/>
    <col min="9490" max="9729" width="9.140625" style="339"/>
    <col min="9730" max="9730" width="13.28515625" style="339" customWidth="1"/>
    <col min="9731" max="9732" width="9.140625" style="339"/>
    <col min="9733" max="9733" width="12.7109375" style="339" customWidth="1"/>
    <col min="9734" max="9734" width="2.85546875" style="339" customWidth="1"/>
    <col min="9735" max="9735" width="5.5703125" style="339" customWidth="1"/>
    <col min="9736" max="9736" width="4.5703125" style="339" customWidth="1"/>
    <col min="9737" max="9737" width="5.140625" style="339" customWidth="1"/>
    <col min="9738" max="9738" width="2.85546875" style="339" customWidth="1"/>
    <col min="9739" max="9739" width="3.7109375" style="339" customWidth="1"/>
    <col min="9740" max="9740" width="4.7109375" style="339" customWidth="1"/>
    <col min="9741" max="9741" width="4" style="339" customWidth="1"/>
    <col min="9742" max="9742" width="2.85546875" style="339" customWidth="1"/>
    <col min="9743" max="9743" width="5.85546875" style="339" customWidth="1"/>
    <col min="9744" max="9744" width="5.42578125" style="339" customWidth="1"/>
    <col min="9745" max="9745" width="5.5703125" style="339" customWidth="1"/>
    <col min="9746" max="9985" width="9.140625" style="339"/>
    <col min="9986" max="9986" width="13.28515625" style="339" customWidth="1"/>
    <col min="9987" max="9988" width="9.140625" style="339"/>
    <col min="9989" max="9989" width="12.7109375" style="339" customWidth="1"/>
    <col min="9990" max="9990" width="2.85546875" style="339" customWidth="1"/>
    <col min="9991" max="9991" width="5.5703125" style="339" customWidth="1"/>
    <col min="9992" max="9992" width="4.5703125" style="339" customWidth="1"/>
    <col min="9993" max="9993" width="5.140625" style="339" customWidth="1"/>
    <col min="9994" max="9994" width="2.85546875" style="339" customWidth="1"/>
    <col min="9995" max="9995" width="3.7109375" style="339" customWidth="1"/>
    <col min="9996" max="9996" width="4.7109375" style="339" customWidth="1"/>
    <col min="9997" max="9997" width="4" style="339" customWidth="1"/>
    <col min="9998" max="9998" width="2.85546875" style="339" customWidth="1"/>
    <col min="9999" max="9999" width="5.85546875" style="339" customWidth="1"/>
    <col min="10000" max="10000" width="5.42578125" style="339" customWidth="1"/>
    <col min="10001" max="10001" width="5.5703125" style="339" customWidth="1"/>
    <col min="10002" max="10241" width="9.140625" style="339"/>
    <col min="10242" max="10242" width="13.28515625" style="339" customWidth="1"/>
    <col min="10243" max="10244" width="9.140625" style="339"/>
    <col min="10245" max="10245" width="12.7109375" style="339" customWidth="1"/>
    <col min="10246" max="10246" width="2.85546875" style="339" customWidth="1"/>
    <col min="10247" max="10247" width="5.5703125" style="339" customWidth="1"/>
    <col min="10248" max="10248" width="4.5703125" style="339" customWidth="1"/>
    <col min="10249" max="10249" width="5.140625" style="339" customWidth="1"/>
    <col min="10250" max="10250" width="2.85546875" style="339" customWidth="1"/>
    <col min="10251" max="10251" width="3.7109375" style="339" customWidth="1"/>
    <col min="10252" max="10252" width="4.7109375" style="339" customWidth="1"/>
    <col min="10253" max="10253" width="4" style="339" customWidth="1"/>
    <col min="10254" max="10254" width="2.85546875" style="339" customWidth="1"/>
    <col min="10255" max="10255" width="5.85546875" style="339" customWidth="1"/>
    <col min="10256" max="10256" width="5.42578125" style="339" customWidth="1"/>
    <col min="10257" max="10257" width="5.5703125" style="339" customWidth="1"/>
    <col min="10258" max="10497" width="9.140625" style="339"/>
    <col min="10498" max="10498" width="13.28515625" style="339" customWidth="1"/>
    <col min="10499" max="10500" width="9.140625" style="339"/>
    <col min="10501" max="10501" width="12.7109375" style="339" customWidth="1"/>
    <col min="10502" max="10502" width="2.85546875" style="339" customWidth="1"/>
    <col min="10503" max="10503" width="5.5703125" style="339" customWidth="1"/>
    <col min="10504" max="10504" width="4.5703125" style="339" customWidth="1"/>
    <col min="10505" max="10505" width="5.140625" style="339" customWidth="1"/>
    <col min="10506" max="10506" width="2.85546875" style="339" customWidth="1"/>
    <col min="10507" max="10507" width="3.7109375" style="339" customWidth="1"/>
    <col min="10508" max="10508" width="4.7109375" style="339" customWidth="1"/>
    <col min="10509" max="10509" width="4" style="339" customWidth="1"/>
    <col min="10510" max="10510" width="2.85546875" style="339" customWidth="1"/>
    <col min="10511" max="10511" width="5.85546875" style="339" customWidth="1"/>
    <col min="10512" max="10512" width="5.42578125" style="339" customWidth="1"/>
    <col min="10513" max="10513" width="5.5703125" style="339" customWidth="1"/>
    <col min="10514" max="10753" width="9.140625" style="339"/>
    <col min="10754" max="10754" width="13.28515625" style="339" customWidth="1"/>
    <col min="10755" max="10756" width="9.140625" style="339"/>
    <col min="10757" max="10757" width="12.7109375" style="339" customWidth="1"/>
    <col min="10758" max="10758" width="2.85546875" style="339" customWidth="1"/>
    <col min="10759" max="10759" width="5.5703125" style="339" customWidth="1"/>
    <col min="10760" max="10760" width="4.5703125" style="339" customWidth="1"/>
    <col min="10761" max="10761" width="5.140625" style="339" customWidth="1"/>
    <col min="10762" max="10762" width="2.85546875" style="339" customWidth="1"/>
    <col min="10763" max="10763" width="3.7109375" style="339" customWidth="1"/>
    <col min="10764" max="10764" width="4.7109375" style="339" customWidth="1"/>
    <col min="10765" max="10765" width="4" style="339" customWidth="1"/>
    <col min="10766" max="10766" width="2.85546875" style="339" customWidth="1"/>
    <col min="10767" max="10767" width="5.85546875" style="339" customWidth="1"/>
    <col min="10768" max="10768" width="5.42578125" style="339" customWidth="1"/>
    <col min="10769" max="10769" width="5.5703125" style="339" customWidth="1"/>
    <col min="10770" max="11009" width="9.140625" style="339"/>
    <col min="11010" max="11010" width="13.28515625" style="339" customWidth="1"/>
    <col min="11011" max="11012" width="9.140625" style="339"/>
    <col min="11013" max="11013" width="12.7109375" style="339" customWidth="1"/>
    <col min="11014" max="11014" width="2.85546875" style="339" customWidth="1"/>
    <col min="11015" max="11015" width="5.5703125" style="339" customWidth="1"/>
    <col min="11016" max="11016" width="4.5703125" style="339" customWidth="1"/>
    <col min="11017" max="11017" width="5.140625" style="339" customWidth="1"/>
    <col min="11018" max="11018" width="2.85546875" style="339" customWidth="1"/>
    <col min="11019" max="11019" width="3.7109375" style="339" customWidth="1"/>
    <col min="11020" max="11020" width="4.7109375" style="339" customWidth="1"/>
    <col min="11021" max="11021" width="4" style="339" customWidth="1"/>
    <col min="11022" max="11022" width="2.85546875" style="339" customWidth="1"/>
    <col min="11023" max="11023" width="5.85546875" style="339" customWidth="1"/>
    <col min="11024" max="11024" width="5.42578125" style="339" customWidth="1"/>
    <col min="11025" max="11025" width="5.5703125" style="339" customWidth="1"/>
    <col min="11026" max="11265" width="9.140625" style="339"/>
    <col min="11266" max="11266" width="13.28515625" style="339" customWidth="1"/>
    <col min="11267" max="11268" width="9.140625" style="339"/>
    <col min="11269" max="11269" width="12.7109375" style="339" customWidth="1"/>
    <col min="11270" max="11270" width="2.85546875" style="339" customWidth="1"/>
    <col min="11271" max="11271" width="5.5703125" style="339" customWidth="1"/>
    <col min="11272" max="11272" width="4.5703125" style="339" customWidth="1"/>
    <col min="11273" max="11273" width="5.140625" style="339" customWidth="1"/>
    <col min="11274" max="11274" width="2.85546875" style="339" customWidth="1"/>
    <col min="11275" max="11275" width="3.7109375" style="339" customWidth="1"/>
    <col min="11276" max="11276" width="4.7109375" style="339" customWidth="1"/>
    <col min="11277" max="11277" width="4" style="339" customWidth="1"/>
    <col min="11278" max="11278" width="2.85546875" style="339" customWidth="1"/>
    <col min="11279" max="11279" width="5.85546875" style="339" customWidth="1"/>
    <col min="11280" max="11280" width="5.42578125" style="339" customWidth="1"/>
    <col min="11281" max="11281" width="5.5703125" style="339" customWidth="1"/>
    <col min="11282" max="11521" width="9.140625" style="339"/>
    <col min="11522" max="11522" width="13.28515625" style="339" customWidth="1"/>
    <col min="11523" max="11524" width="9.140625" style="339"/>
    <col min="11525" max="11525" width="12.7109375" style="339" customWidth="1"/>
    <col min="11526" max="11526" width="2.85546875" style="339" customWidth="1"/>
    <col min="11527" max="11527" width="5.5703125" style="339" customWidth="1"/>
    <col min="11528" max="11528" width="4.5703125" style="339" customWidth="1"/>
    <col min="11529" max="11529" width="5.140625" style="339" customWidth="1"/>
    <col min="11530" max="11530" width="2.85546875" style="339" customWidth="1"/>
    <col min="11531" max="11531" width="3.7109375" style="339" customWidth="1"/>
    <col min="11532" max="11532" width="4.7109375" style="339" customWidth="1"/>
    <col min="11533" max="11533" width="4" style="339" customWidth="1"/>
    <col min="11534" max="11534" width="2.85546875" style="339" customWidth="1"/>
    <col min="11535" max="11535" width="5.85546875" style="339" customWidth="1"/>
    <col min="11536" max="11536" width="5.42578125" style="339" customWidth="1"/>
    <col min="11537" max="11537" width="5.5703125" style="339" customWidth="1"/>
    <col min="11538" max="11777" width="9.140625" style="339"/>
    <col min="11778" max="11778" width="13.28515625" style="339" customWidth="1"/>
    <col min="11779" max="11780" width="9.140625" style="339"/>
    <col min="11781" max="11781" width="12.7109375" style="339" customWidth="1"/>
    <col min="11782" max="11782" width="2.85546875" style="339" customWidth="1"/>
    <col min="11783" max="11783" width="5.5703125" style="339" customWidth="1"/>
    <col min="11784" max="11784" width="4.5703125" style="339" customWidth="1"/>
    <col min="11785" max="11785" width="5.140625" style="339" customWidth="1"/>
    <col min="11786" max="11786" width="2.85546875" style="339" customWidth="1"/>
    <col min="11787" max="11787" width="3.7109375" style="339" customWidth="1"/>
    <col min="11788" max="11788" width="4.7109375" style="339" customWidth="1"/>
    <col min="11789" max="11789" width="4" style="339" customWidth="1"/>
    <col min="11790" max="11790" width="2.85546875" style="339" customWidth="1"/>
    <col min="11791" max="11791" width="5.85546875" style="339" customWidth="1"/>
    <col min="11792" max="11792" width="5.42578125" style="339" customWidth="1"/>
    <col min="11793" max="11793" width="5.5703125" style="339" customWidth="1"/>
    <col min="11794" max="12033" width="9.140625" style="339"/>
    <col min="12034" max="12034" width="13.28515625" style="339" customWidth="1"/>
    <col min="12035" max="12036" width="9.140625" style="339"/>
    <col min="12037" max="12037" width="12.7109375" style="339" customWidth="1"/>
    <col min="12038" max="12038" width="2.85546875" style="339" customWidth="1"/>
    <col min="12039" max="12039" width="5.5703125" style="339" customWidth="1"/>
    <col min="12040" max="12040" width="4.5703125" style="339" customWidth="1"/>
    <col min="12041" max="12041" width="5.140625" style="339" customWidth="1"/>
    <col min="12042" max="12042" width="2.85546875" style="339" customWidth="1"/>
    <col min="12043" max="12043" width="3.7109375" style="339" customWidth="1"/>
    <col min="12044" max="12044" width="4.7109375" style="339" customWidth="1"/>
    <col min="12045" max="12045" width="4" style="339" customWidth="1"/>
    <col min="12046" max="12046" width="2.85546875" style="339" customWidth="1"/>
    <col min="12047" max="12047" width="5.85546875" style="339" customWidth="1"/>
    <col min="12048" max="12048" width="5.42578125" style="339" customWidth="1"/>
    <col min="12049" max="12049" width="5.5703125" style="339" customWidth="1"/>
    <col min="12050" max="12289" width="9.140625" style="339"/>
    <col min="12290" max="12290" width="13.28515625" style="339" customWidth="1"/>
    <col min="12291" max="12292" width="9.140625" style="339"/>
    <col min="12293" max="12293" width="12.7109375" style="339" customWidth="1"/>
    <col min="12294" max="12294" width="2.85546875" style="339" customWidth="1"/>
    <col min="12295" max="12295" width="5.5703125" style="339" customWidth="1"/>
    <col min="12296" max="12296" width="4.5703125" style="339" customWidth="1"/>
    <col min="12297" max="12297" width="5.140625" style="339" customWidth="1"/>
    <col min="12298" max="12298" width="2.85546875" style="339" customWidth="1"/>
    <col min="12299" max="12299" width="3.7109375" style="339" customWidth="1"/>
    <col min="12300" max="12300" width="4.7109375" style="339" customWidth="1"/>
    <col min="12301" max="12301" width="4" style="339" customWidth="1"/>
    <col min="12302" max="12302" width="2.85546875" style="339" customWidth="1"/>
    <col min="12303" max="12303" width="5.85546875" style="339" customWidth="1"/>
    <col min="12304" max="12304" width="5.42578125" style="339" customWidth="1"/>
    <col min="12305" max="12305" width="5.5703125" style="339" customWidth="1"/>
    <col min="12306" max="12545" width="9.140625" style="339"/>
    <col min="12546" max="12546" width="13.28515625" style="339" customWidth="1"/>
    <col min="12547" max="12548" width="9.140625" style="339"/>
    <col min="12549" max="12549" width="12.7109375" style="339" customWidth="1"/>
    <col min="12550" max="12550" width="2.85546875" style="339" customWidth="1"/>
    <col min="12551" max="12551" width="5.5703125" style="339" customWidth="1"/>
    <col min="12552" max="12552" width="4.5703125" style="339" customWidth="1"/>
    <col min="12553" max="12553" width="5.140625" style="339" customWidth="1"/>
    <col min="12554" max="12554" width="2.85546875" style="339" customWidth="1"/>
    <col min="12555" max="12555" width="3.7109375" style="339" customWidth="1"/>
    <col min="12556" max="12556" width="4.7109375" style="339" customWidth="1"/>
    <col min="12557" max="12557" width="4" style="339" customWidth="1"/>
    <col min="12558" max="12558" width="2.85546875" style="339" customWidth="1"/>
    <col min="12559" max="12559" width="5.85546875" style="339" customWidth="1"/>
    <col min="12560" max="12560" width="5.42578125" style="339" customWidth="1"/>
    <col min="12561" max="12561" width="5.5703125" style="339" customWidth="1"/>
    <col min="12562" max="12801" width="9.140625" style="339"/>
    <col min="12802" max="12802" width="13.28515625" style="339" customWidth="1"/>
    <col min="12803" max="12804" width="9.140625" style="339"/>
    <col min="12805" max="12805" width="12.7109375" style="339" customWidth="1"/>
    <col min="12806" max="12806" width="2.85546875" style="339" customWidth="1"/>
    <col min="12807" max="12807" width="5.5703125" style="339" customWidth="1"/>
    <col min="12808" max="12808" width="4.5703125" style="339" customWidth="1"/>
    <col min="12809" max="12809" width="5.140625" style="339" customWidth="1"/>
    <col min="12810" max="12810" width="2.85546875" style="339" customWidth="1"/>
    <col min="12811" max="12811" width="3.7109375" style="339" customWidth="1"/>
    <col min="12812" max="12812" width="4.7109375" style="339" customWidth="1"/>
    <col min="12813" max="12813" width="4" style="339" customWidth="1"/>
    <col min="12814" max="12814" width="2.85546875" style="339" customWidth="1"/>
    <col min="12815" max="12815" width="5.85546875" style="339" customWidth="1"/>
    <col min="12816" max="12816" width="5.42578125" style="339" customWidth="1"/>
    <col min="12817" max="12817" width="5.5703125" style="339" customWidth="1"/>
    <col min="12818" max="13057" width="9.140625" style="339"/>
    <col min="13058" max="13058" width="13.28515625" style="339" customWidth="1"/>
    <col min="13059" max="13060" width="9.140625" style="339"/>
    <col min="13061" max="13061" width="12.7109375" style="339" customWidth="1"/>
    <col min="13062" max="13062" width="2.85546875" style="339" customWidth="1"/>
    <col min="13063" max="13063" width="5.5703125" style="339" customWidth="1"/>
    <col min="13064" max="13064" width="4.5703125" style="339" customWidth="1"/>
    <col min="13065" max="13065" width="5.140625" style="339" customWidth="1"/>
    <col min="13066" max="13066" width="2.85546875" style="339" customWidth="1"/>
    <col min="13067" max="13067" width="3.7109375" style="339" customWidth="1"/>
    <col min="13068" max="13068" width="4.7109375" style="339" customWidth="1"/>
    <col min="13069" max="13069" width="4" style="339" customWidth="1"/>
    <col min="13070" max="13070" width="2.85546875" style="339" customWidth="1"/>
    <col min="13071" max="13071" width="5.85546875" style="339" customWidth="1"/>
    <col min="13072" max="13072" width="5.42578125" style="339" customWidth="1"/>
    <col min="13073" max="13073" width="5.5703125" style="339" customWidth="1"/>
    <col min="13074" max="13313" width="9.140625" style="339"/>
    <col min="13314" max="13314" width="13.28515625" style="339" customWidth="1"/>
    <col min="13315" max="13316" width="9.140625" style="339"/>
    <col min="13317" max="13317" width="12.7109375" style="339" customWidth="1"/>
    <col min="13318" max="13318" width="2.85546875" style="339" customWidth="1"/>
    <col min="13319" max="13319" width="5.5703125" style="339" customWidth="1"/>
    <col min="13320" max="13320" width="4.5703125" style="339" customWidth="1"/>
    <col min="13321" max="13321" width="5.140625" style="339" customWidth="1"/>
    <col min="13322" max="13322" width="2.85546875" style="339" customWidth="1"/>
    <col min="13323" max="13323" width="3.7109375" style="339" customWidth="1"/>
    <col min="13324" max="13324" width="4.7109375" style="339" customWidth="1"/>
    <col min="13325" max="13325" width="4" style="339" customWidth="1"/>
    <col min="13326" max="13326" width="2.85546875" style="339" customWidth="1"/>
    <col min="13327" max="13327" width="5.85546875" style="339" customWidth="1"/>
    <col min="13328" max="13328" width="5.42578125" style="339" customWidth="1"/>
    <col min="13329" max="13329" width="5.5703125" style="339" customWidth="1"/>
    <col min="13330" max="13569" width="9.140625" style="339"/>
    <col min="13570" max="13570" width="13.28515625" style="339" customWidth="1"/>
    <col min="13571" max="13572" width="9.140625" style="339"/>
    <col min="13573" max="13573" width="12.7109375" style="339" customWidth="1"/>
    <col min="13574" max="13574" width="2.85546875" style="339" customWidth="1"/>
    <col min="13575" max="13575" width="5.5703125" style="339" customWidth="1"/>
    <col min="13576" max="13576" width="4.5703125" style="339" customWidth="1"/>
    <col min="13577" max="13577" width="5.140625" style="339" customWidth="1"/>
    <col min="13578" max="13578" width="2.85546875" style="339" customWidth="1"/>
    <col min="13579" max="13579" width="3.7109375" style="339" customWidth="1"/>
    <col min="13580" max="13580" width="4.7109375" style="339" customWidth="1"/>
    <col min="13581" max="13581" width="4" style="339" customWidth="1"/>
    <col min="13582" max="13582" width="2.85546875" style="339" customWidth="1"/>
    <col min="13583" max="13583" width="5.85546875" style="339" customWidth="1"/>
    <col min="13584" max="13584" width="5.42578125" style="339" customWidth="1"/>
    <col min="13585" max="13585" width="5.5703125" style="339" customWidth="1"/>
    <col min="13586" max="13825" width="9.140625" style="339"/>
    <col min="13826" max="13826" width="13.28515625" style="339" customWidth="1"/>
    <col min="13827" max="13828" width="9.140625" style="339"/>
    <col min="13829" max="13829" width="12.7109375" style="339" customWidth="1"/>
    <col min="13830" max="13830" width="2.85546875" style="339" customWidth="1"/>
    <col min="13831" max="13831" width="5.5703125" style="339" customWidth="1"/>
    <col min="13832" max="13832" width="4.5703125" style="339" customWidth="1"/>
    <col min="13833" max="13833" width="5.140625" style="339" customWidth="1"/>
    <col min="13834" max="13834" width="2.85546875" style="339" customWidth="1"/>
    <col min="13835" max="13835" width="3.7109375" style="339" customWidth="1"/>
    <col min="13836" max="13836" width="4.7109375" style="339" customWidth="1"/>
    <col min="13837" max="13837" width="4" style="339" customWidth="1"/>
    <col min="13838" max="13838" width="2.85546875" style="339" customWidth="1"/>
    <col min="13839" max="13839" width="5.85546875" style="339" customWidth="1"/>
    <col min="13840" max="13840" width="5.42578125" style="339" customWidth="1"/>
    <col min="13841" max="13841" width="5.5703125" style="339" customWidth="1"/>
    <col min="13842" max="14081" width="9.140625" style="339"/>
    <col min="14082" max="14082" width="13.28515625" style="339" customWidth="1"/>
    <col min="14083" max="14084" width="9.140625" style="339"/>
    <col min="14085" max="14085" width="12.7109375" style="339" customWidth="1"/>
    <col min="14086" max="14086" width="2.85546875" style="339" customWidth="1"/>
    <col min="14087" max="14087" width="5.5703125" style="339" customWidth="1"/>
    <col min="14088" max="14088" width="4.5703125" style="339" customWidth="1"/>
    <col min="14089" max="14089" width="5.140625" style="339" customWidth="1"/>
    <col min="14090" max="14090" width="2.85546875" style="339" customWidth="1"/>
    <col min="14091" max="14091" width="3.7109375" style="339" customWidth="1"/>
    <col min="14092" max="14092" width="4.7109375" style="339" customWidth="1"/>
    <col min="14093" max="14093" width="4" style="339" customWidth="1"/>
    <col min="14094" max="14094" width="2.85546875" style="339" customWidth="1"/>
    <col min="14095" max="14095" width="5.85546875" style="339" customWidth="1"/>
    <col min="14096" max="14096" width="5.42578125" style="339" customWidth="1"/>
    <col min="14097" max="14097" width="5.5703125" style="339" customWidth="1"/>
    <col min="14098" max="14337" width="9.140625" style="339"/>
    <col min="14338" max="14338" width="13.28515625" style="339" customWidth="1"/>
    <col min="14339" max="14340" width="9.140625" style="339"/>
    <col min="14341" max="14341" width="12.7109375" style="339" customWidth="1"/>
    <col min="14342" max="14342" width="2.85546875" style="339" customWidth="1"/>
    <col min="14343" max="14343" width="5.5703125" style="339" customWidth="1"/>
    <col min="14344" max="14344" width="4.5703125" style="339" customWidth="1"/>
    <col min="14345" max="14345" width="5.140625" style="339" customWidth="1"/>
    <col min="14346" max="14346" width="2.85546875" style="339" customWidth="1"/>
    <col min="14347" max="14347" width="3.7109375" style="339" customWidth="1"/>
    <col min="14348" max="14348" width="4.7109375" style="339" customWidth="1"/>
    <col min="14349" max="14349" width="4" style="339" customWidth="1"/>
    <col min="14350" max="14350" width="2.85546875" style="339" customWidth="1"/>
    <col min="14351" max="14351" width="5.85546875" style="339" customWidth="1"/>
    <col min="14352" max="14352" width="5.42578125" style="339" customWidth="1"/>
    <col min="14353" max="14353" width="5.5703125" style="339" customWidth="1"/>
    <col min="14354" max="14593" width="9.140625" style="339"/>
    <col min="14594" max="14594" width="13.28515625" style="339" customWidth="1"/>
    <col min="14595" max="14596" width="9.140625" style="339"/>
    <col min="14597" max="14597" width="12.7109375" style="339" customWidth="1"/>
    <col min="14598" max="14598" width="2.85546875" style="339" customWidth="1"/>
    <col min="14599" max="14599" width="5.5703125" style="339" customWidth="1"/>
    <col min="14600" max="14600" width="4.5703125" style="339" customWidth="1"/>
    <col min="14601" max="14601" width="5.140625" style="339" customWidth="1"/>
    <col min="14602" max="14602" width="2.85546875" style="339" customWidth="1"/>
    <col min="14603" max="14603" width="3.7109375" style="339" customWidth="1"/>
    <col min="14604" max="14604" width="4.7109375" style="339" customWidth="1"/>
    <col min="14605" max="14605" width="4" style="339" customWidth="1"/>
    <col min="14606" max="14606" width="2.85546875" style="339" customWidth="1"/>
    <col min="14607" max="14607" width="5.85546875" style="339" customWidth="1"/>
    <col min="14608" max="14608" width="5.42578125" style="339" customWidth="1"/>
    <col min="14609" max="14609" width="5.5703125" style="339" customWidth="1"/>
    <col min="14610" max="14849" width="9.140625" style="339"/>
    <col min="14850" max="14850" width="13.28515625" style="339" customWidth="1"/>
    <col min="14851" max="14852" width="9.140625" style="339"/>
    <col min="14853" max="14853" width="12.7109375" style="339" customWidth="1"/>
    <col min="14854" max="14854" width="2.85546875" style="339" customWidth="1"/>
    <col min="14855" max="14855" width="5.5703125" style="339" customWidth="1"/>
    <col min="14856" max="14856" width="4.5703125" style="339" customWidth="1"/>
    <col min="14857" max="14857" width="5.140625" style="339" customWidth="1"/>
    <col min="14858" max="14858" width="2.85546875" style="339" customWidth="1"/>
    <col min="14859" max="14859" width="3.7109375" style="339" customWidth="1"/>
    <col min="14860" max="14860" width="4.7109375" style="339" customWidth="1"/>
    <col min="14861" max="14861" width="4" style="339" customWidth="1"/>
    <col min="14862" max="14862" width="2.85546875" style="339" customWidth="1"/>
    <col min="14863" max="14863" width="5.85546875" style="339" customWidth="1"/>
    <col min="14864" max="14864" width="5.42578125" style="339" customWidth="1"/>
    <col min="14865" max="14865" width="5.5703125" style="339" customWidth="1"/>
    <col min="14866" max="15105" width="9.140625" style="339"/>
    <col min="15106" max="15106" width="13.28515625" style="339" customWidth="1"/>
    <col min="15107" max="15108" width="9.140625" style="339"/>
    <col min="15109" max="15109" width="12.7109375" style="339" customWidth="1"/>
    <col min="15110" max="15110" width="2.85546875" style="339" customWidth="1"/>
    <col min="15111" max="15111" width="5.5703125" style="339" customWidth="1"/>
    <col min="15112" max="15112" width="4.5703125" style="339" customWidth="1"/>
    <col min="15113" max="15113" width="5.140625" style="339" customWidth="1"/>
    <col min="15114" max="15114" width="2.85546875" style="339" customWidth="1"/>
    <col min="15115" max="15115" width="3.7109375" style="339" customWidth="1"/>
    <col min="15116" max="15116" width="4.7109375" style="339" customWidth="1"/>
    <col min="15117" max="15117" width="4" style="339" customWidth="1"/>
    <col min="15118" max="15118" width="2.85546875" style="339" customWidth="1"/>
    <col min="15119" max="15119" width="5.85546875" style="339" customWidth="1"/>
    <col min="15120" max="15120" width="5.42578125" style="339" customWidth="1"/>
    <col min="15121" max="15121" width="5.5703125" style="339" customWidth="1"/>
    <col min="15122" max="15361" width="9.140625" style="339"/>
    <col min="15362" max="15362" width="13.28515625" style="339" customWidth="1"/>
    <col min="15363" max="15364" width="9.140625" style="339"/>
    <col min="15365" max="15365" width="12.7109375" style="339" customWidth="1"/>
    <col min="15366" max="15366" width="2.85546875" style="339" customWidth="1"/>
    <col min="15367" max="15367" width="5.5703125" style="339" customWidth="1"/>
    <col min="15368" max="15368" width="4.5703125" style="339" customWidth="1"/>
    <col min="15369" max="15369" width="5.140625" style="339" customWidth="1"/>
    <col min="15370" max="15370" width="2.85546875" style="339" customWidth="1"/>
    <col min="15371" max="15371" width="3.7109375" style="339" customWidth="1"/>
    <col min="15372" max="15372" width="4.7109375" style="339" customWidth="1"/>
    <col min="15373" max="15373" width="4" style="339" customWidth="1"/>
    <col min="15374" max="15374" width="2.85546875" style="339" customWidth="1"/>
    <col min="15375" max="15375" width="5.85546875" style="339" customWidth="1"/>
    <col min="15376" max="15376" width="5.42578125" style="339" customWidth="1"/>
    <col min="15377" max="15377" width="5.5703125" style="339" customWidth="1"/>
    <col min="15378" max="15617" width="9.140625" style="339"/>
    <col min="15618" max="15618" width="13.28515625" style="339" customWidth="1"/>
    <col min="15619" max="15620" width="9.140625" style="339"/>
    <col min="15621" max="15621" width="12.7109375" style="339" customWidth="1"/>
    <col min="15622" max="15622" width="2.85546875" style="339" customWidth="1"/>
    <col min="15623" max="15623" width="5.5703125" style="339" customWidth="1"/>
    <col min="15624" max="15624" width="4.5703125" style="339" customWidth="1"/>
    <col min="15625" max="15625" width="5.140625" style="339" customWidth="1"/>
    <col min="15626" max="15626" width="2.85546875" style="339" customWidth="1"/>
    <col min="15627" max="15627" width="3.7109375" style="339" customWidth="1"/>
    <col min="15628" max="15628" width="4.7109375" style="339" customWidth="1"/>
    <col min="15629" max="15629" width="4" style="339" customWidth="1"/>
    <col min="15630" max="15630" width="2.85546875" style="339" customWidth="1"/>
    <col min="15631" max="15631" width="5.85546875" style="339" customWidth="1"/>
    <col min="15632" max="15632" width="5.42578125" style="339" customWidth="1"/>
    <col min="15633" max="15633" width="5.5703125" style="339" customWidth="1"/>
    <col min="15634" max="15873" width="9.140625" style="339"/>
    <col min="15874" max="15874" width="13.28515625" style="339" customWidth="1"/>
    <col min="15875" max="15876" width="9.140625" style="339"/>
    <col min="15877" max="15877" width="12.7109375" style="339" customWidth="1"/>
    <col min="15878" max="15878" width="2.85546875" style="339" customWidth="1"/>
    <col min="15879" max="15879" width="5.5703125" style="339" customWidth="1"/>
    <col min="15880" max="15880" width="4.5703125" style="339" customWidth="1"/>
    <col min="15881" max="15881" width="5.140625" style="339" customWidth="1"/>
    <col min="15882" max="15882" width="2.85546875" style="339" customWidth="1"/>
    <col min="15883" max="15883" width="3.7109375" style="339" customWidth="1"/>
    <col min="15884" max="15884" width="4.7109375" style="339" customWidth="1"/>
    <col min="15885" max="15885" width="4" style="339" customWidth="1"/>
    <col min="15886" max="15886" width="2.85546875" style="339" customWidth="1"/>
    <col min="15887" max="15887" width="5.85546875" style="339" customWidth="1"/>
    <col min="15888" max="15888" width="5.42578125" style="339" customWidth="1"/>
    <col min="15889" max="15889" width="5.5703125" style="339" customWidth="1"/>
    <col min="15890" max="16129" width="9.140625" style="339"/>
    <col min="16130" max="16130" width="13.28515625" style="339" customWidth="1"/>
    <col min="16131" max="16132" width="9.140625" style="339"/>
    <col min="16133" max="16133" width="12.7109375" style="339" customWidth="1"/>
    <col min="16134" max="16134" width="2.85546875" style="339" customWidth="1"/>
    <col min="16135" max="16135" width="5.5703125" style="339" customWidth="1"/>
    <col min="16136" max="16136" width="4.5703125" style="339" customWidth="1"/>
    <col min="16137" max="16137" width="5.140625" style="339" customWidth="1"/>
    <col min="16138" max="16138" width="2.85546875" style="339" customWidth="1"/>
    <col min="16139" max="16139" width="3.7109375" style="339" customWidth="1"/>
    <col min="16140" max="16140" width="4.7109375" style="339" customWidth="1"/>
    <col min="16141" max="16141" width="4" style="339" customWidth="1"/>
    <col min="16142" max="16142" width="2.85546875" style="339" customWidth="1"/>
    <col min="16143" max="16143" width="5.85546875" style="339" customWidth="1"/>
    <col min="16144" max="16144" width="5.42578125" style="339" customWidth="1"/>
    <col min="16145" max="16145" width="5.5703125" style="339" customWidth="1"/>
    <col min="16146" max="16384" width="9.140625" style="339"/>
  </cols>
  <sheetData>
    <row r="1" spans="1:24">
      <c r="A1" s="338"/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</row>
    <row r="2" spans="1:24">
      <c r="A2" s="338"/>
      <c r="R2" s="338"/>
    </row>
    <row r="3" spans="1:24" ht="19.5" thickBot="1">
      <c r="A3" s="338"/>
      <c r="B3" s="589" t="s">
        <v>380</v>
      </c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338"/>
    </row>
    <row r="4" spans="1:24" ht="9" customHeight="1">
      <c r="A4" s="338"/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R4" s="338"/>
      <c r="T4" s="75"/>
      <c r="U4" s="621" t="s">
        <v>241</v>
      </c>
      <c r="V4" s="621"/>
      <c r="W4" s="621"/>
      <c r="X4" s="127"/>
    </row>
    <row r="5" spans="1:24" ht="15" customHeight="1" thickBot="1">
      <c r="A5" s="338"/>
      <c r="G5" s="590" t="s">
        <v>244</v>
      </c>
      <c r="H5" s="590"/>
      <c r="I5" s="590"/>
      <c r="K5" s="591" t="s">
        <v>245</v>
      </c>
      <c r="L5" s="591"/>
      <c r="M5" s="591"/>
      <c r="O5" s="592" t="s">
        <v>246</v>
      </c>
      <c r="P5" s="592"/>
      <c r="Q5" s="592"/>
      <c r="R5" s="338"/>
      <c r="T5" s="77"/>
      <c r="U5" s="622"/>
      <c r="V5" s="622"/>
      <c r="W5" s="622"/>
      <c r="X5" s="83"/>
    </row>
    <row r="6" spans="1:24" ht="15" customHeight="1" thickTop="1" thickBot="1">
      <c r="A6" s="338"/>
      <c r="B6" s="587" t="s">
        <v>247</v>
      </c>
      <c r="C6" s="587"/>
      <c r="D6" s="587"/>
      <c r="E6" s="588"/>
      <c r="F6" s="341"/>
      <c r="G6" s="342">
        <v>0.95</v>
      </c>
      <c r="H6" s="343" t="s">
        <v>248</v>
      </c>
      <c r="I6" s="344">
        <v>1.06</v>
      </c>
      <c r="J6" s="345"/>
      <c r="K6" s="346">
        <f>G6*35.315</f>
        <v>33.549249999999994</v>
      </c>
      <c r="L6" s="347" t="s">
        <v>248</v>
      </c>
      <c r="M6" s="348">
        <f>I6*35.315</f>
        <v>37.433900000000001</v>
      </c>
      <c r="N6" s="345"/>
      <c r="O6" s="349">
        <f>1/G6</f>
        <v>1.0526315789473684</v>
      </c>
      <c r="P6" s="350" t="s">
        <v>248</v>
      </c>
      <c r="Q6" s="351">
        <f>1/I6</f>
        <v>0.94339622641509424</v>
      </c>
      <c r="R6" s="338"/>
      <c r="T6" s="77"/>
      <c r="U6" s="440">
        <v>35</v>
      </c>
      <c r="V6" s="623" t="s">
        <v>234</v>
      </c>
      <c r="W6" s="624"/>
      <c r="X6" s="83"/>
    </row>
    <row r="7" spans="1:24" ht="15" customHeight="1" thickTop="1">
      <c r="A7" s="338"/>
      <c r="B7" s="587" t="s">
        <v>249</v>
      </c>
      <c r="C7" s="587"/>
      <c r="D7" s="587"/>
      <c r="E7" s="588"/>
      <c r="F7" s="341"/>
      <c r="G7" s="342">
        <v>0.34</v>
      </c>
      <c r="H7" s="343" t="s">
        <v>248</v>
      </c>
      <c r="I7" s="344">
        <v>0.42</v>
      </c>
      <c r="J7" s="345"/>
      <c r="K7" s="346">
        <f>G7*35.315</f>
        <v>12.007099999999999</v>
      </c>
      <c r="L7" s="347" t="s">
        <v>248</v>
      </c>
      <c r="M7" s="348">
        <f t="shared" ref="M7:M63" si="0">I7*35.315</f>
        <v>14.832299999999998</v>
      </c>
      <c r="N7" s="345"/>
      <c r="O7" s="349">
        <f>1/G7</f>
        <v>2.9411764705882351</v>
      </c>
      <c r="P7" s="350" t="s">
        <v>248</v>
      </c>
      <c r="Q7" s="351">
        <f>1/I7</f>
        <v>2.3809523809523809</v>
      </c>
      <c r="R7" s="338"/>
      <c r="T7" s="77"/>
      <c r="U7" s="625" t="s">
        <v>243</v>
      </c>
      <c r="V7" s="628"/>
      <c r="W7" s="629"/>
      <c r="X7" s="83"/>
    </row>
    <row r="8" spans="1:24" ht="15" customHeight="1">
      <c r="A8" s="338"/>
      <c r="B8" s="587" t="s">
        <v>250</v>
      </c>
      <c r="C8" s="587"/>
      <c r="D8" s="587"/>
      <c r="E8" s="588"/>
      <c r="F8" s="341"/>
      <c r="G8" s="342"/>
      <c r="H8" s="343">
        <v>0.34</v>
      </c>
      <c r="I8" s="344"/>
      <c r="J8" s="345"/>
      <c r="K8" s="346" t="s">
        <v>251</v>
      </c>
      <c r="L8" s="347">
        <f>H8*35.315</f>
        <v>12.007099999999999</v>
      </c>
      <c r="M8" s="348" t="s">
        <v>251</v>
      </c>
      <c r="N8" s="345"/>
      <c r="O8" s="349" t="s">
        <v>251</v>
      </c>
      <c r="P8" s="350">
        <f>1/H8</f>
        <v>2.9411764705882351</v>
      </c>
      <c r="Q8" s="351" t="s">
        <v>251</v>
      </c>
      <c r="R8" s="338"/>
      <c r="T8" s="77"/>
      <c r="U8" s="524" t="s">
        <v>235</v>
      </c>
      <c r="V8" s="525"/>
      <c r="W8" s="315">
        <f>CAL!N3</f>
        <v>35</v>
      </c>
      <c r="X8" s="83"/>
    </row>
    <row r="9" spans="1:24" ht="15" customHeight="1">
      <c r="A9" s="338"/>
      <c r="B9" s="587" t="s">
        <v>252</v>
      </c>
      <c r="C9" s="587"/>
      <c r="D9" s="587"/>
      <c r="E9" s="588"/>
      <c r="F9" s="341"/>
      <c r="G9" s="342">
        <v>0.72</v>
      </c>
      <c r="H9" s="343" t="s">
        <v>248</v>
      </c>
      <c r="I9" s="344">
        <v>0.84</v>
      </c>
      <c r="J9" s="345"/>
      <c r="K9" s="346">
        <f>G9*35.315</f>
        <v>25.426799999999997</v>
      </c>
      <c r="L9" s="347" t="s">
        <v>248</v>
      </c>
      <c r="M9" s="348">
        <f t="shared" si="0"/>
        <v>29.664599999999997</v>
      </c>
      <c r="N9" s="345"/>
      <c r="O9" s="349">
        <f>1/G9</f>
        <v>1.3888888888888888</v>
      </c>
      <c r="P9" s="350" t="s">
        <v>248</v>
      </c>
      <c r="Q9" s="351">
        <f>1/I9</f>
        <v>1.1904761904761905</v>
      </c>
      <c r="R9" s="338"/>
      <c r="T9" s="77"/>
      <c r="U9" s="524" t="s">
        <v>237</v>
      </c>
      <c r="V9" s="525"/>
      <c r="W9" s="329">
        <f>CAL!N5</f>
        <v>34.446999999999996</v>
      </c>
      <c r="X9" s="83"/>
    </row>
    <row r="10" spans="1:24" ht="15" customHeight="1">
      <c r="A10" s="338"/>
      <c r="B10" s="587" t="s">
        <v>253</v>
      </c>
      <c r="C10" s="587"/>
      <c r="D10" s="587"/>
      <c r="E10" s="588"/>
      <c r="F10" s="341"/>
      <c r="G10" s="342"/>
      <c r="H10" s="343">
        <v>0.78</v>
      </c>
      <c r="I10" s="344"/>
      <c r="J10" s="345"/>
      <c r="K10" s="346" t="s">
        <v>251</v>
      </c>
      <c r="L10" s="347">
        <f>H10*35.315</f>
        <v>27.5457</v>
      </c>
      <c r="M10" s="348" t="s">
        <v>251</v>
      </c>
      <c r="N10" s="345"/>
      <c r="O10" s="349" t="s">
        <v>251</v>
      </c>
      <c r="P10" s="350">
        <f>1/H10</f>
        <v>1.2820512820512819</v>
      </c>
      <c r="Q10" s="351" t="s">
        <v>251</v>
      </c>
      <c r="R10" s="338"/>
      <c r="T10" s="66"/>
      <c r="U10" s="524" t="s">
        <v>238</v>
      </c>
      <c r="V10" s="525"/>
      <c r="W10" s="101">
        <f>CAL!N6</f>
        <v>0.97544999999999993</v>
      </c>
      <c r="X10" s="67"/>
    </row>
    <row r="11" spans="1:24" ht="15" customHeight="1">
      <c r="A11" s="338"/>
      <c r="B11" s="587" t="s">
        <v>254</v>
      </c>
      <c r="C11" s="587"/>
      <c r="D11" s="587"/>
      <c r="E11" s="588"/>
      <c r="F11" s="341"/>
      <c r="G11" s="342"/>
      <c r="H11" s="343">
        <v>0.92</v>
      </c>
      <c r="I11" s="344"/>
      <c r="J11" s="345"/>
      <c r="K11" s="346" t="s">
        <v>251</v>
      </c>
      <c r="L11" s="347">
        <f>H11*35.315</f>
        <v>32.489800000000002</v>
      </c>
      <c r="M11" s="348" t="s">
        <v>251</v>
      </c>
      <c r="N11" s="345"/>
      <c r="O11" s="349" t="s">
        <v>251</v>
      </c>
      <c r="P11" s="350">
        <f>1/H11</f>
        <v>1.0869565217391304</v>
      </c>
      <c r="Q11" s="351" t="s">
        <v>251</v>
      </c>
      <c r="R11" s="338"/>
      <c r="T11" s="77"/>
      <c r="U11" s="524" t="s">
        <v>239</v>
      </c>
      <c r="V11" s="525"/>
      <c r="W11" s="101">
        <f>CAL!N7</f>
        <v>0.99109499999999995</v>
      </c>
      <c r="X11" s="83"/>
    </row>
    <row r="12" spans="1:24" ht="15" customHeight="1">
      <c r="A12" s="338"/>
      <c r="B12" s="587" t="s">
        <v>255</v>
      </c>
      <c r="C12" s="587"/>
      <c r="D12" s="587"/>
      <c r="E12" s="588"/>
      <c r="F12" s="341"/>
      <c r="G12" s="342">
        <v>0.92</v>
      </c>
      <c r="H12" s="343" t="s">
        <v>248</v>
      </c>
      <c r="I12" s="344">
        <v>1.28</v>
      </c>
      <c r="J12" s="345"/>
      <c r="K12" s="346">
        <f>G12*35.315</f>
        <v>32.489800000000002</v>
      </c>
      <c r="L12" s="347" t="s">
        <v>248</v>
      </c>
      <c r="M12" s="348">
        <f t="shared" si="0"/>
        <v>45.203199999999995</v>
      </c>
      <c r="N12" s="345"/>
      <c r="O12" s="349">
        <f>1/G12</f>
        <v>1.0869565217391304</v>
      </c>
      <c r="P12" s="350" t="s">
        <v>248</v>
      </c>
      <c r="Q12" s="351">
        <f>1/I12</f>
        <v>0.78125</v>
      </c>
      <c r="R12" s="338"/>
      <c r="T12" s="77"/>
      <c r="U12" s="625" t="s">
        <v>242</v>
      </c>
      <c r="V12" s="626"/>
      <c r="W12" s="627"/>
      <c r="X12" s="83"/>
    </row>
    <row r="13" spans="1:24" ht="15" customHeight="1">
      <c r="A13" s="338"/>
      <c r="B13" s="587" t="s">
        <v>256</v>
      </c>
      <c r="C13" s="587"/>
      <c r="D13" s="587"/>
      <c r="E13" s="588"/>
      <c r="F13" s="341"/>
      <c r="G13" s="342"/>
      <c r="H13" s="343">
        <v>0.61</v>
      </c>
      <c r="I13" s="344"/>
      <c r="J13" s="345"/>
      <c r="K13" s="346" t="s">
        <v>251</v>
      </c>
      <c r="L13" s="347">
        <f>H13*35.315</f>
        <v>21.542149999999999</v>
      </c>
      <c r="M13" s="348" t="s">
        <v>251</v>
      </c>
      <c r="N13" s="345"/>
      <c r="O13" s="349" t="s">
        <v>251</v>
      </c>
      <c r="P13" s="350">
        <f>1/H13</f>
        <v>1.639344262295082</v>
      </c>
      <c r="Q13" s="351" t="s">
        <v>251</v>
      </c>
      <c r="R13" s="338"/>
      <c r="T13" s="77"/>
      <c r="U13" s="524" t="s">
        <v>236</v>
      </c>
      <c r="V13" s="525"/>
      <c r="W13" s="101">
        <f>CAL!N4</f>
        <v>1.0251678712389154</v>
      </c>
      <c r="X13" s="83"/>
    </row>
    <row r="14" spans="1:24" ht="15" customHeight="1">
      <c r="A14" s="338"/>
      <c r="B14" s="587" t="s">
        <v>257</v>
      </c>
      <c r="C14" s="587"/>
      <c r="D14" s="587"/>
      <c r="E14" s="588"/>
      <c r="F14" s="341"/>
      <c r="G14" s="342"/>
      <c r="H14" s="343">
        <v>0.7</v>
      </c>
      <c r="I14" s="344"/>
      <c r="J14" s="345"/>
      <c r="K14" s="346" t="s">
        <v>251</v>
      </c>
      <c r="L14" s="347">
        <f>H14*35.315</f>
        <v>24.720499999999998</v>
      </c>
      <c r="M14" s="348" t="s">
        <v>251</v>
      </c>
      <c r="N14" s="345"/>
      <c r="O14" s="349" t="s">
        <v>251</v>
      </c>
      <c r="P14" s="350">
        <f>1/H14</f>
        <v>1.4285714285714286</v>
      </c>
      <c r="Q14" s="351" t="s">
        <v>251</v>
      </c>
      <c r="R14" s="338"/>
      <c r="T14" s="77"/>
      <c r="U14" s="524" t="s">
        <v>240</v>
      </c>
      <c r="V14" s="525"/>
      <c r="W14" s="101">
        <f>CAL!N8</f>
        <v>1.0089850115276537</v>
      </c>
      <c r="X14" s="83"/>
    </row>
    <row r="15" spans="1:24" ht="4.5" customHeight="1" thickBot="1">
      <c r="A15" s="338"/>
      <c r="B15" s="593" t="s">
        <v>258</v>
      </c>
      <c r="C15" s="594"/>
      <c r="D15" s="594"/>
      <c r="E15" s="595"/>
      <c r="F15" s="390"/>
      <c r="G15" s="630">
        <v>0.78</v>
      </c>
      <c r="H15" s="632" t="s">
        <v>248</v>
      </c>
      <c r="I15" s="634">
        <v>0.84</v>
      </c>
      <c r="J15" s="345"/>
      <c r="K15" s="630">
        <f>G15*35.315</f>
        <v>27.5457</v>
      </c>
      <c r="L15" s="632" t="s">
        <v>248</v>
      </c>
      <c r="M15" s="634">
        <f>I15*35.315</f>
        <v>29.664599999999997</v>
      </c>
      <c r="N15" s="345"/>
      <c r="O15" s="630">
        <f>1/G15</f>
        <v>1.2820512820512819</v>
      </c>
      <c r="P15" s="632" t="s">
        <v>248</v>
      </c>
      <c r="Q15" s="634">
        <f>1/I15</f>
        <v>1.1904761904761905</v>
      </c>
      <c r="R15" s="338"/>
      <c r="T15" s="79"/>
      <c r="U15" s="84"/>
      <c r="V15" s="84"/>
      <c r="W15" s="84"/>
      <c r="X15" s="85"/>
    </row>
    <row r="16" spans="1:24" ht="10.5" customHeight="1">
      <c r="A16" s="338"/>
      <c r="B16" s="596"/>
      <c r="C16" s="597"/>
      <c r="D16" s="597"/>
      <c r="E16" s="598"/>
      <c r="G16" s="631"/>
      <c r="H16" s="633"/>
      <c r="I16" s="635"/>
      <c r="K16" s="631"/>
      <c r="L16" s="633"/>
      <c r="M16" s="635"/>
      <c r="O16" s="631"/>
      <c r="P16" s="633"/>
      <c r="Q16" s="635"/>
      <c r="R16" s="338"/>
    </row>
    <row r="17" spans="1:18" ht="15" customHeight="1">
      <c r="A17" s="338"/>
      <c r="B17" s="587" t="s">
        <v>259</v>
      </c>
      <c r="C17" s="587"/>
      <c r="D17" s="587"/>
      <c r="E17" s="588"/>
      <c r="F17" s="341"/>
      <c r="G17" s="342">
        <v>0.83</v>
      </c>
      <c r="H17" s="343" t="s">
        <v>248</v>
      </c>
      <c r="I17" s="344">
        <v>1</v>
      </c>
      <c r="J17" s="345"/>
      <c r="K17" s="346">
        <f>G17*35.315</f>
        <v>29.311449999999997</v>
      </c>
      <c r="L17" s="347" t="s">
        <v>248</v>
      </c>
      <c r="M17" s="348">
        <f t="shared" si="0"/>
        <v>35.314999999999998</v>
      </c>
      <c r="N17" s="345"/>
      <c r="O17" s="349">
        <f>1/G17</f>
        <v>1.2048192771084338</v>
      </c>
      <c r="P17" s="350" t="s">
        <v>248</v>
      </c>
      <c r="Q17" s="351">
        <f>1/I17</f>
        <v>1</v>
      </c>
      <c r="R17" s="338"/>
    </row>
    <row r="18" spans="1:18" ht="15" customHeight="1">
      <c r="A18" s="338"/>
      <c r="B18" s="587" t="s">
        <v>260</v>
      </c>
      <c r="C18" s="587"/>
      <c r="D18" s="587"/>
      <c r="E18" s="588"/>
      <c r="F18" s="341"/>
      <c r="G18" s="342">
        <v>0.9</v>
      </c>
      <c r="H18" s="343" t="s">
        <v>248</v>
      </c>
      <c r="I18" s="344">
        <v>0.95</v>
      </c>
      <c r="J18" s="345"/>
      <c r="K18" s="346">
        <f>G18*35.315</f>
        <v>31.7835</v>
      </c>
      <c r="L18" s="347" t="s">
        <v>248</v>
      </c>
      <c r="M18" s="348">
        <f t="shared" si="0"/>
        <v>33.549249999999994</v>
      </c>
      <c r="N18" s="345"/>
      <c r="O18" s="349">
        <f>1/G18</f>
        <v>1.1111111111111112</v>
      </c>
      <c r="P18" s="350" t="s">
        <v>248</v>
      </c>
      <c r="Q18" s="351">
        <f>1/I18</f>
        <v>1.0526315789473684</v>
      </c>
      <c r="R18" s="338"/>
    </row>
    <row r="19" spans="1:18" ht="15" customHeight="1">
      <c r="A19" s="338"/>
      <c r="B19" s="587" t="s">
        <v>261</v>
      </c>
      <c r="C19" s="587"/>
      <c r="D19" s="587"/>
      <c r="E19" s="588"/>
      <c r="F19" s="341"/>
      <c r="G19" s="342"/>
      <c r="H19" s="343">
        <v>0.56000000000000005</v>
      </c>
      <c r="I19" s="344"/>
      <c r="J19" s="345"/>
      <c r="K19" s="346" t="s">
        <v>251</v>
      </c>
      <c r="L19" s="347">
        <f>H19*35.315</f>
        <v>19.776399999999999</v>
      </c>
      <c r="M19" s="348" t="s">
        <v>251</v>
      </c>
      <c r="N19" s="345"/>
      <c r="O19" s="349" t="s">
        <v>251</v>
      </c>
      <c r="P19" s="350">
        <f>1/H19</f>
        <v>1.7857142857142856</v>
      </c>
      <c r="Q19" s="351" t="s">
        <v>251</v>
      </c>
      <c r="R19" s="338"/>
    </row>
    <row r="20" spans="1:18" ht="15" customHeight="1">
      <c r="A20" s="338"/>
      <c r="B20" s="587" t="s">
        <v>262</v>
      </c>
      <c r="C20" s="587"/>
      <c r="D20" s="587"/>
      <c r="E20" s="588"/>
      <c r="F20" s="341"/>
      <c r="G20" s="342">
        <v>0.67</v>
      </c>
      <c r="H20" s="343" t="s">
        <v>248</v>
      </c>
      <c r="I20" s="344">
        <v>1</v>
      </c>
      <c r="J20" s="345"/>
      <c r="K20" s="346">
        <f>G20*35.315</f>
        <v>23.661049999999999</v>
      </c>
      <c r="L20" s="347" t="s">
        <v>248</v>
      </c>
      <c r="M20" s="348">
        <f t="shared" si="0"/>
        <v>35.314999999999998</v>
      </c>
      <c r="N20" s="345"/>
      <c r="O20" s="349">
        <f>1/G20</f>
        <v>1.4925373134328357</v>
      </c>
      <c r="P20" s="350" t="s">
        <v>248</v>
      </c>
      <c r="Q20" s="351">
        <f>1/I20</f>
        <v>1</v>
      </c>
      <c r="R20" s="338"/>
    </row>
    <row r="21" spans="1:18" ht="15" customHeight="1">
      <c r="A21" s="338"/>
      <c r="B21" s="587" t="s">
        <v>263</v>
      </c>
      <c r="C21" s="587"/>
      <c r="D21" s="587"/>
      <c r="E21" s="588"/>
      <c r="F21" s="341"/>
      <c r="G21" s="342">
        <v>0.61</v>
      </c>
      <c r="H21" s="343" t="s">
        <v>248</v>
      </c>
      <c r="I21" s="344">
        <v>0.84</v>
      </c>
      <c r="J21" s="345"/>
      <c r="K21" s="346">
        <f>G21*35.315</f>
        <v>21.542149999999999</v>
      </c>
      <c r="L21" s="347" t="s">
        <v>248</v>
      </c>
      <c r="M21" s="348">
        <f t="shared" si="0"/>
        <v>29.664599999999997</v>
      </c>
      <c r="N21" s="345"/>
      <c r="O21" s="349">
        <f>1/G21</f>
        <v>1.639344262295082</v>
      </c>
      <c r="P21" s="350" t="s">
        <v>248</v>
      </c>
      <c r="Q21" s="351">
        <f>1/I21</f>
        <v>1.1904761904761905</v>
      </c>
      <c r="R21" s="338"/>
    </row>
    <row r="22" spans="1:18" ht="15" customHeight="1">
      <c r="A22" s="338"/>
      <c r="B22" s="587" t="s">
        <v>264</v>
      </c>
      <c r="C22" s="587"/>
      <c r="D22" s="587"/>
      <c r="E22" s="588"/>
      <c r="F22" s="341"/>
      <c r="G22" s="342"/>
      <c r="H22" s="343">
        <v>1.5</v>
      </c>
      <c r="I22" s="344"/>
      <c r="J22" s="345"/>
      <c r="K22" s="346" t="s">
        <v>251</v>
      </c>
      <c r="L22" s="347">
        <f>H22*35.315</f>
        <v>52.972499999999997</v>
      </c>
      <c r="M22" s="348" t="s">
        <v>251</v>
      </c>
      <c r="N22" s="345"/>
      <c r="O22" s="349" t="s">
        <v>251</v>
      </c>
      <c r="P22" s="350">
        <f>1/H22</f>
        <v>0.66666666666666663</v>
      </c>
      <c r="Q22" s="351" t="s">
        <v>251</v>
      </c>
      <c r="R22" s="338"/>
    </row>
    <row r="23" spans="1:18" ht="15" customHeight="1">
      <c r="A23" s="338"/>
      <c r="B23" s="587" t="s">
        <v>265</v>
      </c>
      <c r="C23" s="587"/>
      <c r="D23" s="587"/>
      <c r="E23" s="588"/>
      <c r="F23" s="341"/>
      <c r="G23" s="342">
        <v>0.33</v>
      </c>
      <c r="H23" s="343" t="s">
        <v>248</v>
      </c>
      <c r="I23" s="344">
        <v>0.45</v>
      </c>
      <c r="J23" s="345"/>
      <c r="K23" s="346">
        <f>G23*35.315</f>
        <v>11.65395</v>
      </c>
      <c r="L23" s="347" t="s">
        <v>248</v>
      </c>
      <c r="M23" s="348">
        <f t="shared" si="0"/>
        <v>15.89175</v>
      </c>
      <c r="N23" s="345"/>
      <c r="O23" s="349">
        <f>1/G23</f>
        <v>3.0303030303030303</v>
      </c>
      <c r="P23" s="350" t="s">
        <v>248</v>
      </c>
      <c r="Q23" s="351">
        <f>1/I23</f>
        <v>2.2222222222222223</v>
      </c>
      <c r="R23" s="338"/>
    </row>
    <row r="24" spans="1:18" ht="15" customHeight="1">
      <c r="A24" s="338"/>
      <c r="B24" s="587" t="s">
        <v>266</v>
      </c>
      <c r="C24" s="587"/>
      <c r="D24" s="587"/>
      <c r="E24" s="588"/>
      <c r="F24" s="341"/>
      <c r="G24" s="342"/>
      <c r="H24" s="343">
        <v>0.6</v>
      </c>
      <c r="I24" s="344"/>
      <c r="J24" s="345"/>
      <c r="K24" s="346" t="s">
        <v>251</v>
      </c>
      <c r="L24" s="347">
        <f>H24*35.315</f>
        <v>21.188999999999997</v>
      </c>
      <c r="M24" s="348" t="s">
        <v>251</v>
      </c>
      <c r="N24" s="345"/>
      <c r="O24" s="349" t="s">
        <v>251</v>
      </c>
      <c r="P24" s="350">
        <f>1/H24</f>
        <v>1.6666666666666667</v>
      </c>
      <c r="Q24" s="351" t="s">
        <v>251</v>
      </c>
      <c r="R24" s="338"/>
    </row>
    <row r="25" spans="1:18" ht="15" customHeight="1">
      <c r="A25" s="338"/>
      <c r="B25" s="587" t="s">
        <v>267</v>
      </c>
      <c r="C25" s="587"/>
      <c r="D25" s="587"/>
      <c r="E25" s="588"/>
      <c r="F25" s="341"/>
      <c r="G25" s="342">
        <v>0.66</v>
      </c>
      <c r="H25" s="343" t="s">
        <v>248</v>
      </c>
      <c r="I25" s="344">
        <v>1.34</v>
      </c>
      <c r="J25" s="345"/>
      <c r="K25" s="346">
        <f>G25*35.315</f>
        <v>23.3079</v>
      </c>
      <c r="L25" s="347" t="s">
        <v>248</v>
      </c>
      <c r="M25" s="348">
        <f t="shared" si="0"/>
        <v>47.322099999999999</v>
      </c>
      <c r="N25" s="345"/>
      <c r="O25" s="349">
        <f>1/G25</f>
        <v>1.5151515151515151</v>
      </c>
      <c r="P25" s="350" t="s">
        <v>248</v>
      </c>
      <c r="Q25" s="351">
        <f>1/I25</f>
        <v>0.74626865671641784</v>
      </c>
      <c r="R25" s="338"/>
    </row>
    <row r="26" spans="1:18" ht="15" customHeight="1">
      <c r="A26" s="338"/>
      <c r="B26" s="587" t="s">
        <v>268</v>
      </c>
      <c r="C26" s="587"/>
      <c r="D26" s="587"/>
      <c r="E26" s="588"/>
      <c r="F26" s="341"/>
      <c r="G26" s="342">
        <v>1.25</v>
      </c>
      <c r="H26" s="343" t="s">
        <v>248</v>
      </c>
      <c r="I26" s="344">
        <v>2.93</v>
      </c>
      <c r="J26" s="345"/>
      <c r="K26" s="346">
        <f>G26*35.315</f>
        <v>44.143749999999997</v>
      </c>
      <c r="L26" s="347" t="s">
        <v>248</v>
      </c>
      <c r="M26" s="348">
        <f t="shared" si="0"/>
        <v>103.47295</v>
      </c>
      <c r="N26" s="345"/>
      <c r="O26" s="349">
        <f>1/G26</f>
        <v>0.8</v>
      </c>
      <c r="P26" s="350" t="s">
        <v>248</v>
      </c>
      <c r="Q26" s="351">
        <f>1/I26</f>
        <v>0.34129692832764502</v>
      </c>
      <c r="R26" s="338"/>
    </row>
    <row r="27" spans="1:18" ht="15" customHeight="1">
      <c r="A27" s="338"/>
      <c r="B27" s="587" t="s">
        <v>269</v>
      </c>
      <c r="C27" s="587"/>
      <c r="D27" s="587"/>
      <c r="E27" s="588"/>
      <c r="F27" s="341"/>
      <c r="G27" s="342"/>
      <c r="H27" s="343">
        <v>0.61</v>
      </c>
      <c r="I27" s="344"/>
      <c r="J27" s="345"/>
      <c r="K27" s="346" t="s">
        <v>251</v>
      </c>
      <c r="L27" s="347">
        <f>H27*35.315</f>
        <v>21.542149999999999</v>
      </c>
      <c r="M27" s="348" t="s">
        <v>251</v>
      </c>
      <c r="N27" s="345"/>
      <c r="O27" s="349" t="s">
        <v>251</v>
      </c>
      <c r="P27" s="350">
        <f>1/H27</f>
        <v>1.639344262295082</v>
      </c>
      <c r="Q27" s="351" t="s">
        <v>251</v>
      </c>
      <c r="R27" s="338"/>
    </row>
    <row r="28" spans="1:18" ht="15" customHeight="1">
      <c r="A28" s="338"/>
      <c r="B28" s="587" t="s">
        <v>270</v>
      </c>
      <c r="C28" s="587"/>
      <c r="D28" s="587"/>
      <c r="E28" s="588"/>
      <c r="F28" s="341"/>
      <c r="G28" s="342">
        <v>0.22</v>
      </c>
      <c r="H28" s="343" t="s">
        <v>248</v>
      </c>
      <c r="I28" s="344">
        <v>0.25</v>
      </c>
      <c r="J28" s="345"/>
      <c r="K28" s="352">
        <f>G28*35.315</f>
        <v>7.7692999999999994</v>
      </c>
      <c r="L28" s="353" t="s">
        <v>248</v>
      </c>
      <c r="M28" s="354">
        <f t="shared" si="0"/>
        <v>8.8287499999999994</v>
      </c>
      <c r="N28" s="345"/>
      <c r="O28" s="349">
        <f>1/G28</f>
        <v>4.5454545454545459</v>
      </c>
      <c r="P28" s="350" t="s">
        <v>248</v>
      </c>
      <c r="Q28" s="351">
        <f>1/I28</f>
        <v>4</v>
      </c>
      <c r="R28" s="338"/>
    </row>
    <row r="29" spans="1:18" ht="15" customHeight="1">
      <c r="A29" s="338"/>
      <c r="B29" s="587" t="s">
        <v>271</v>
      </c>
      <c r="C29" s="587"/>
      <c r="D29" s="587"/>
      <c r="E29" s="588"/>
      <c r="F29" s="341"/>
      <c r="G29" s="342">
        <v>0.25</v>
      </c>
      <c r="H29" s="343" t="s">
        <v>248</v>
      </c>
      <c r="I29" s="344">
        <v>0.35</v>
      </c>
      <c r="J29" s="345"/>
      <c r="K29" s="346" t="s">
        <v>251</v>
      </c>
      <c r="L29" s="347" t="s">
        <v>248</v>
      </c>
      <c r="M29" s="348">
        <f t="shared" si="0"/>
        <v>12.360249999999999</v>
      </c>
      <c r="N29" s="345"/>
      <c r="O29" s="349">
        <f>1/G29</f>
        <v>4</v>
      </c>
      <c r="P29" s="350" t="s">
        <v>248</v>
      </c>
      <c r="Q29" s="351">
        <f>1/I29</f>
        <v>2.8571428571428572</v>
      </c>
      <c r="R29" s="338"/>
    </row>
    <row r="30" spans="1:18" ht="15" customHeight="1">
      <c r="A30" s="338"/>
      <c r="B30" s="587" t="s">
        <v>272</v>
      </c>
      <c r="C30" s="587"/>
      <c r="D30" s="587"/>
      <c r="E30" s="588"/>
      <c r="F30" s="341"/>
      <c r="G30" s="342"/>
      <c r="H30" s="343">
        <v>0.7</v>
      </c>
      <c r="I30" s="344"/>
      <c r="J30" s="345"/>
      <c r="K30" s="346" t="s">
        <v>251</v>
      </c>
      <c r="L30" s="347">
        <f>H30*35.315</f>
        <v>24.720499999999998</v>
      </c>
      <c r="M30" s="348" t="s">
        <v>251</v>
      </c>
      <c r="N30" s="345"/>
      <c r="O30" s="349" t="s">
        <v>251</v>
      </c>
      <c r="P30" s="350">
        <f>1/H30</f>
        <v>1.4285714285714286</v>
      </c>
      <c r="Q30" s="351" t="s">
        <v>251</v>
      </c>
      <c r="R30" s="338"/>
    </row>
    <row r="31" spans="1:18" ht="15" customHeight="1">
      <c r="A31" s="338"/>
      <c r="B31" s="587" t="s">
        <v>273</v>
      </c>
      <c r="C31" s="587"/>
      <c r="D31" s="587"/>
      <c r="E31" s="588"/>
      <c r="F31" s="341"/>
      <c r="G31" s="342"/>
      <c r="H31" s="343">
        <v>1.2</v>
      </c>
      <c r="I31" s="344"/>
      <c r="J31" s="345"/>
      <c r="K31" s="346" t="s">
        <v>251</v>
      </c>
      <c r="L31" s="347">
        <f>H31*35.315</f>
        <v>42.377999999999993</v>
      </c>
      <c r="M31" s="348" t="s">
        <v>251</v>
      </c>
      <c r="N31" s="345"/>
      <c r="O31" s="349" t="s">
        <v>251</v>
      </c>
      <c r="P31" s="350">
        <f>1/H31</f>
        <v>0.83333333333333337</v>
      </c>
      <c r="Q31" s="351" t="s">
        <v>251</v>
      </c>
      <c r="R31" s="338"/>
    </row>
    <row r="32" spans="1:18" ht="15" customHeight="1">
      <c r="A32" s="338"/>
      <c r="B32" s="587" t="s">
        <v>274</v>
      </c>
      <c r="C32" s="587"/>
      <c r="D32" s="587"/>
      <c r="E32" s="588"/>
      <c r="F32" s="341"/>
      <c r="G32" s="342">
        <v>0.56000000000000005</v>
      </c>
      <c r="H32" s="343" t="s">
        <v>248</v>
      </c>
      <c r="I32" s="344">
        <v>0.65</v>
      </c>
      <c r="J32" s="345"/>
      <c r="K32" s="346">
        <f>G32*35.315</f>
        <v>19.776399999999999</v>
      </c>
      <c r="L32" s="347" t="s">
        <v>248</v>
      </c>
      <c r="M32" s="348">
        <f t="shared" si="0"/>
        <v>22.954750000000001</v>
      </c>
      <c r="N32" s="345"/>
      <c r="O32" s="349">
        <f>1/G32</f>
        <v>1.7857142857142856</v>
      </c>
      <c r="P32" s="350" t="s">
        <v>248</v>
      </c>
      <c r="Q32" s="351">
        <f>1/I32</f>
        <v>1.5384615384615383</v>
      </c>
      <c r="R32" s="338"/>
    </row>
    <row r="33" spans="1:18" ht="15" customHeight="1">
      <c r="A33" s="338"/>
      <c r="B33" s="587" t="s">
        <v>275</v>
      </c>
      <c r="C33" s="587"/>
      <c r="D33" s="587"/>
      <c r="E33" s="588"/>
      <c r="F33" s="341"/>
      <c r="G33" s="342"/>
      <c r="H33" s="343">
        <v>0.6</v>
      </c>
      <c r="I33" s="344"/>
      <c r="J33" s="345"/>
      <c r="K33" s="346" t="s">
        <v>251</v>
      </c>
      <c r="L33" s="347">
        <f>H33*35.315</f>
        <v>21.188999999999997</v>
      </c>
      <c r="M33" s="348" t="s">
        <v>251</v>
      </c>
      <c r="N33" s="345"/>
      <c r="O33" s="349" t="s">
        <v>251</v>
      </c>
      <c r="P33" s="350">
        <f>1/H33</f>
        <v>1.6666666666666667</v>
      </c>
      <c r="Q33" s="351" t="s">
        <v>251</v>
      </c>
      <c r="R33" s="338"/>
    </row>
    <row r="34" spans="1:18" ht="15" customHeight="1">
      <c r="A34" s="338"/>
      <c r="B34" s="587" t="s">
        <v>276</v>
      </c>
      <c r="C34" s="587"/>
      <c r="D34" s="587"/>
      <c r="E34" s="588"/>
      <c r="F34" s="341"/>
      <c r="G34" s="342">
        <v>0.18</v>
      </c>
      <c r="H34" s="343" t="s">
        <v>248</v>
      </c>
      <c r="I34" s="344">
        <v>0.26</v>
      </c>
      <c r="J34" s="345"/>
      <c r="K34" s="346">
        <f>G34*35.315</f>
        <v>6.3566999999999991</v>
      </c>
      <c r="L34" s="347" t="s">
        <v>248</v>
      </c>
      <c r="M34" s="348">
        <f t="shared" si="0"/>
        <v>9.1818999999999988</v>
      </c>
      <c r="N34" s="345"/>
      <c r="O34" s="349">
        <f>1/G34</f>
        <v>5.5555555555555554</v>
      </c>
      <c r="P34" s="350" t="s">
        <v>248</v>
      </c>
      <c r="Q34" s="351">
        <f>1/I34</f>
        <v>3.8461538461538458</v>
      </c>
      <c r="R34" s="338"/>
    </row>
    <row r="35" spans="1:18" ht="15" customHeight="1">
      <c r="A35" s="338"/>
      <c r="B35" s="587" t="s">
        <v>277</v>
      </c>
      <c r="C35" s="587"/>
      <c r="D35" s="587"/>
      <c r="E35" s="588"/>
      <c r="F35" s="341"/>
      <c r="G35" s="342">
        <v>0.18</v>
      </c>
      <c r="H35" s="343" t="s">
        <v>248</v>
      </c>
      <c r="I35" s="344">
        <v>0.26</v>
      </c>
      <c r="J35" s="345"/>
      <c r="K35" s="346">
        <f>G35*35.315</f>
        <v>6.3566999999999991</v>
      </c>
      <c r="L35" s="347" t="s">
        <v>248</v>
      </c>
      <c r="M35" s="348">
        <f t="shared" si="0"/>
        <v>9.1818999999999988</v>
      </c>
      <c r="N35" s="345"/>
      <c r="O35" s="349">
        <f>1/G35</f>
        <v>5.5555555555555554</v>
      </c>
      <c r="P35" s="350" t="s">
        <v>248</v>
      </c>
      <c r="Q35" s="351">
        <f>1/I35</f>
        <v>3.8461538461538458</v>
      </c>
      <c r="R35" s="338"/>
    </row>
    <row r="36" spans="1:18" ht="15" customHeight="1">
      <c r="A36" s="338"/>
      <c r="B36" s="587" t="s">
        <v>278</v>
      </c>
      <c r="C36" s="587"/>
      <c r="D36" s="587"/>
      <c r="E36" s="588"/>
      <c r="F36" s="341"/>
      <c r="G36" s="342">
        <v>0.18</v>
      </c>
      <c r="H36" s="343" t="s">
        <v>248</v>
      </c>
      <c r="I36" s="344">
        <v>0.28000000000000003</v>
      </c>
      <c r="J36" s="345"/>
      <c r="K36" s="346">
        <f>G36*35.315</f>
        <v>6.3566999999999991</v>
      </c>
      <c r="L36" s="347" t="s">
        <v>248</v>
      </c>
      <c r="M36" s="348">
        <f t="shared" si="0"/>
        <v>9.8881999999999994</v>
      </c>
      <c r="N36" s="345"/>
      <c r="O36" s="349">
        <f>1/G36</f>
        <v>5.5555555555555554</v>
      </c>
      <c r="P36" s="350" t="s">
        <v>248</v>
      </c>
      <c r="Q36" s="351">
        <f>1/I36</f>
        <v>3.5714285714285712</v>
      </c>
      <c r="R36" s="338"/>
    </row>
    <row r="37" spans="1:18" ht="15" customHeight="1">
      <c r="A37" s="338"/>
      <c r="B37" s="587" t="s">
        <v>279</v>
      </c>
      <c r="C37" s="587"/>
      <c r="D37" s="587"/>
      <c r="E37" s="588"/>
      <c r="F37" s="341"/>
      <c r="G37" s="342">
        <v>0.18</v>
      </c>
      <c r="H37" s="343" t="s">
        <v>248</v>
      </c>
      <c r="I37" s="344">
        <v>0.26</v>
      </c>
      <c r="J37" s="345"/>
      <c r="K37" s="346">
        <f>G37*35.315</f>
        <v>6.3566999999999991</v>
      </c>
      <c r="L37" s="347" t="s">
        <v>248</v>
      </c>
      <c r="M37" s="348">
        <f t="shared" si="0"/>
        <v>9.1818999999999988</v>
      </c>
      <c r="N37" s="345"/>
      <c r="O37" s="349">
        <f>1/G37</f>
        <v>5.5555555555555554</v>
      </c>
      <c r="P37" s="350" t="s">
        <v>248</v>
      </c>
      <c r="Q37" s="351">
        <f>1/I37</f>
        <v>3.8461538461538458</v>
      </c>
      <c r="R37" s="338"/>
    </row>
    <row r="38" spans="1:18" ht="15" customHeight="1">
      <c r="A38" s="338"/>
      <c r="B38" s="587" t="s">
        <v>280</v>
      </c>
      <c r="C38" s="587"/>
      <c r="D38" s="587"/>
      <c r="E38" s="588"/>
      <c r="F38" s="341"/>
      <c r="G38" s="342"/>
      <c r="H38" s="343">
        <v>0.24</v>
      </c>
      <c r="I38" s="344"/>
      <c r="J38" s="345"/>
      <c r="K38" s="352" t="s">
        <v>251</v>
      </c>
      <c r="L38" s="353">
        <f>H38*35.315</f>
        <v>8.4756</v>
      </c>
      <c r="M38" s="354" t="s">
        <v>251</v>
      </c>
      <c r="N38" s="345"/>
      <c r="O38" s="349" t="s">
        <v>251</v>
      </c>
      <c r="P38" s="350">
        <f>1/H38</f>
        <v>4.166666666666667</v>
      </c>
      <c r="Q38" s="351" t="s">
        <v>251</v>
      </c>
      <c r="R38" s="338"/>
    </row>
    <row r="39" spans="1:18" ht="15" customHeight="1">
      <c r="A39" s="338"/>
      <c r="B39" s="587" t="s">
        <v>281</v>
      </c>
      <c r="C39" s="587"/>
      <c r="D39" s="587"/>
      <c r="E39" s="588"/>
      <c r="F39" s="341"/>
      <c r="G39" s="342">
        <v>0.9</v>
      </c>
      <c r="H39" s="343" t="s">
        <v>248</v>
      </c>
      <c r="I39" s="344">
        <v>1.4</v>
      </c>
      <c r="J39" s="345"/>
      <c r="K39" s="346">
        <f>G39*35.315</f>
        <v>31.7835</v>
      </c>
      <c r="L39" s="347" t="s">
        <v>248</v>
      </c>
      <c r="M39" s="348">
        <f t="shared" si="0"/>
        <v>49.440999999999995</v>
      </c>
      <c r="N39" s="345"/>
      <c r="O39" s="349">
        <f>1/G39</f>
        <v>1.1111111111111112</v>
      </c>
      <c r="P39" s="350" t="s">
        <v>248</v>
      </c>
      <c r="Q39" s="351">
        <f>1/I39</f>
        <v>0.7142857142857143</v>
      </c>
      <c r="R39" s="338"/>
    </row>
    <row r="40" spans="1:18" ht="15" customHeight="1">
      <c r="A40" s="338"/>
      <c r="B40" s="587" t="s">
        <v>282</v>
      </c>
      <c r="C40" s="587"/>
      <c r="D40" s="587"/>
      <c r="E40" s="588"/>
      <c r="F40" s="341"/>
      <c r="G40" s="342"/>
      <c r="H40" s="343">
        <v>1.7</v>
      </c>
      <c r="I40" s="344"/>
      <c r="J40" s="345"/>
      <c r="K40" s="346" t="s">
        <v>251</v>
      </c>
      <c r="L40" s="347">
        <f>H40*35.315</f>
        <v>60.035499999999992</v>
      </c>
      <c r="M40" s="348" t="s">
        <v>251</v>
      </c>
      <c r="N40" s="345"/>
      <c r="O40" s="349" t="s">
        <v>251</v>
      </c>
      <c r="P40" s="350">
        <f>1/H40</f>
        <v>0.58823529411764708</v>
      </c>
      <c r="Q40" s="351" t="s">
        <v>251</v>
      </c>
      <c r="R40" s="338"/>
    </row>
    <row r="41" spans="1:18" ht="15" customHeight="1">
      <c r="A41" s="338"/>
      <c r="B41" s="587" t="s">
        <v>283</v>
      </c>
      <c r="C41" s="587"/>
      <c r="D41" s="587"/>
      <c r="E41" s="588"/>
      <c r="F41" s="341"/>
      <c r="G41" s="342"/>
      <c r="H41" s="343">
        <v>1.26</v>
      </c>
      <c r="I41" s="344"/>
      <c r="J41" s="345"/>
      <c r="K41" s="352" t="s">
        <v>251</v>
      </c>
      <c r="L41" s="353">
        <f>H41*35.315</f>
        <v>44.496899999999997</v>
      </c>
      <c r="M41" s="354" t="s">
        <v>251</v>
      </c>
      <c r="N41" s="345"/>
      <c r="O41" s="349" t="s">
        <v>251</v>
      </c>
      <c r="P41" s="350">
        <f>1/H41</f>
        <v>0.79365079365079361</v>
      </c>
      <c r="Q41" s="351" t="s">
        <v>251</v>
      </c>
      <c r="R41" s="338"/>
    </row>
    <row r="42" spans="1:18" ht="15" customHeight="1">
      <c r="A42" s="338"/>
      <c r="B42" s="587" t="s">
        <v>284</v>
      </c>
      <c r="C42" s="587"/>
      <c r="D42" s="587"/>
      <c r="E42" s="588"/>
      <c r="F42" s="341"/>
      <c r="G42" s="342"/>
      <c r="H42" s="343">
        <v>0.9</v>
      </c>
      <c r="I42" s="344"/>
      <c r="J42" s="345"/>
      <c r="K42" s="346" t="s">
        <v>251</v>
      </c>
      <c r="L42" s="347">
        <f>H42*35.315</f>
        <v>31.7835</v>
      </c>
      <c r="M42" s="348" t="s">
        <v>251</v>
      </c>
      <c r="N42" s="345"/>
      <c r="O42" s="349" t="s">
        <v>251</v>
      </c>
      <c r="P42" s="350">
        <f>1/H42</f>
        <v>1.1111111111111112</v>
      </c>
      <c r="Q42" s="351" t="s">
        <v>251</v>
      </c>
      <c r="R42" s="338"/>
    </row>
    <row r="43" spans="1:18" ht="15" customHeight="1">
      <c r="A43" s="338"/>
      <c r="B43" s="587" t="s">
        <v>285</v>
      </c>
      <c r="C43" s="587"/>
      <c r="D43" s="587"/>
      <c r="E43" s="588"/>
      <c r="F43" s="341"/>
      <c r="G43" s="342">
        <v>0.67</v>
      </c>
      <c r="H43" s="343" t="s">
        <v>248</v>
      </c>
      <c r="I43" s="344">
        <v>0.78</v>
      </c>
      <c r="J43" s="345"/>
      <c r="K43" s="346">
        <f>G43*35.315</f>
        <v>23.661049999999999</v>
      </c>
      <c r="L43" s="347" t="s">
        <v>248</v>
      </c>
      <c r="M43" s="348">
        <f t="shared" si="0"/>
        <v>27.5457</v>
      </c>
      <c r="N43" s="345"/>
      <c r="O43" s="349">
        <f>1/G43</f>
        <v>1.4925373134328357</v>
      </c>
      <c r="P43" s="350" t="s">
        <v>248</v>
      </c>
      <c r="Q43" s="351">
        <f>1/I43</f>
        <v>1.2820512820512819</v>
      </c>
      <c r="R43" s="338"/>
    </row>
    <row r="44" spans="1:18" ht="15" customHeight="1">
      <c r="A44" s="338"/>
      <c r="B44" s="587" t="s">
        <v>286</v>
      </c>
      <c r="C44" s="587"/>
      <c r="D44" s="587"/>
      <c r="E44" s="588"/>
      <c r="F44" s="341"/>
      <c r="G44" s="342">
        <v>0.31</v>
      </c>
      <c r="H44" s="343" t="s">
        <v>248</v>
      </c>
      <c r="I44" s="344">
        <v>0.42</v>
      </c>
      <c r="J44" s="345"/>
      <c r="K44" s="346">
        <f>G44*35.315</f>
        <v>10.947649999999999</v>
      </c>
      <c r="L44" s="347" t="s">
        <v>248</v>
      </c>
      <c r="M44" s="348">
        <f t="shared" si="0"/>
        <v>14.832299999999998</v>
      </c>
      <c r="N44" s="345"/>
      <c r="O44" s="349">
        <f>1/G44</f>
        <v>3.2258064516129035</v>
      </c>
      <c r="P44" s="350" t="s">
        <v>248</v>
      </c>
      <c r="Q44" s="351">
        <f>1/I44</f>
        <v>2.3809523809523809</v>
      </c>
      <c r="R44" s="338"/>
    </row>
    <row r="45" spans="1:18" ht="15" customHeight="1">
      <c r="A45" s="338"/>
      <c r="B45" s="587" t="s">
        <v>287</v>
      </c>
      <c r="C45" s="587"/>
      <c r="D45" s="587"/>
      <c r="E45" s="588"/>
      <c r="F45" s="341"/>
      <c r="G45" s="342">
        <v>0.28999999999999998</v>
      </c>
      <c r="H45" s="343" t="s">
        <v>248</v>
      </c>
      <c r="I45" s="344">
        <v>0.8</v>
      </c>
      <c r="J45" s="345"/>
      <c r="K45" s="346">
        <f>G45*35.315</f>
        <v>10.241349999999999</v>
      </c>
      <c r="L45" s="347" t="s">
        <v>248</v>
      </c>
      <c r="M45" s="348">
        <f t="shared" si="0"/>
        <v>28.251999999999999</v>
      </c>
      <c r="N45" s="345"/>
      <c r="O45" s="349">
        <f>1/G45</f>
        <v>3.4482758620689657</v>
      </c>
      <c r="P45" s="350" t="s">
        <v>248</v>
      </c>
      <c r="Q45" s="351">
        <f>1/I45</f>
        <v>1.25</v>
      </c>
      <c r="R45" s="338"/>
    </row>
    <row r="46" spans="1:18" ht="15" customHeight="1">
      <c r="A46" s="338"/>
      <c r="B46" s="587" t="s">
        <v>288</v>
      </c>
      <c r="C46" s="587"/>
      <c r="D46" s="587"/>
      <c r="E46" s="588"/>
      <c r="F46" s="341"/>
      <c r="G46" s="342">
        <v>0.24</v>
      </c>
      <c r="H46" s="343" t="s">
        <v>248</v>
      </c>
      <c r="I46" s="344">
        <v>0.53</v>
      </c>
      <c r="J46" s="345"/>
      <c r="K46" s="346">
        <f>G46*35.315</f>
        <v>8.4756</v>
      </c>
      <c r="L46" s="347" t="s">
        <v>248</v>
      </c>
      <c r="M46" s="348">
        <f t="shared" si="0"/>
        <v>18.716950000000001</v>
      </c>
      <c r="N46" s="345"/>
      <c r="O46" s="349">
        <f>1/G46</f>
        <v>4.166666666666667</v>
      </c>
      <c r="P46" s="350" t="s">
        <v>248</v>
      </c>
      <c r="Q46" s="351">
        <f>1/I46</f>
        <v>1.8867924528301885</v>
      </c>
      <c r="R46" s="338"/>
    </row>
    <row r="47" spans="1:18" ht="15" customHeight="1">
      <c r="A47" s="338"/>
      <c r="B47" s="587" t="s">
        <v>289</v>
      </c>
      <c r="C47" s="587"/>
      <c r="D47" s="587"/>
      <c r="E47" s="588"/>
      <c r="F47" s="341"/>
      <c r="G47" s="342"/>
      <c r="H47" s="343">
        <v>0.4</v>
      </c>
      <c r="I47" s="344"/>
      <c r="J47" s="345"/>
      <c r="K47" s="346" t="s">
        <v>251</v>
      </c>
      <c r="L47" s="347">
        <f>H47*35.315</f>
        <v>14.125999999999999</v>
      </c>
      <c r="M47" s="348" t="s">
        <v>251</v>
      </c>
      <c r="N47" s="345"/>
      <c r="O47" s="349" t="s">
        <v>251</v>
      </c>
      <c r="P47" s="350">
        <f>1/H47</f>
        <v>2.5</v>
      </c>
      <c r="Q47" s="351" t="s">
        <v>251</v>
      </c>
      <c r="R47" s="338"/>
    </row>
    <row r="48" spans="1:18" ht="15" customHeight="1">
      <c r="A48" s="338"/>
      <c r="B48" s="587" t="s">
        <v>290</v>
      </c>
      <c r="C48" s="587"/>
      <c r="D48" s="587"/>
      <c r="E48" s="588"/>
      <c r="F48" s="341"/>
      <c r="G48" s="342"/>
      <c r="H48" s="343">
        <v>0.39</v>
      </c>
      <c r="I48" s="344"/>
      <c r="J48" s="345"/>
      <c r="K48" s="346" t="s">
        <v>251</v>
      </c>
      <c r="L48" s="347">
        <f>H48*35.315</f>
        <v>13.77285</v>
      </c>
      <c r="M48" s="348" t="s">
        <v>251</v>
      </c>
      <c r="N48" s="345"/>
      <c r="O48" s="349" t="s">
        <v>251</v>
      </c>
      <c r="P48" s="350">
        <f>1/H48</f>
        <v>2.5641025641025639</v>
      </c>
      <c r="Q48" s="351" t="s">
        <v>251</v>
      </c>
      <c r="R48" s="338"/>
    </row>
    <row r="49" spans="1:18" ht="15" customHeight="1">
      <c r="A49" s="338"/>
      <c r="B49" s="587" t="s">
        <v>291</v>
      </c>
      <c r="C49" s="587"/>
      <c r="D49" s="587"/>
      <c r="E49" s="588"/>
      <c r="F49" s="341"/>
      <c r="G49" s="342"/>
      <c r="H49" s="343">
        <v>0.6</v>
      </c>
      <c r="I49" s="344"/>
      <c r="J49" s="345"/>
      <c r="K49" s="346" t="s">
        <v>251</v>
      </c>
      <c r="L49" s="347">
        <f>H49*35.315</f>
        <v>21.188999999999997</v>
      </c>
      <c r="M49" s="348" t="s">
        <v>251</v>
      </c>
      <c r="N49" s="345"/>
      <c r="O49" s="349" t="s">
        <v>251</v>
      </c>
      <c r="P49" s="350">
        <f>1/H49</f>
        <v>1.6666666666666667</v>
      </c>
      <c r="Q49" s="351" t="s">
        <v>251</v>
      </c>
      <c r="R49" s="338"/>
    </row>
    <row r="50" spans="1:18" ht="15" customHeight="1">
      <c r="A50" s="338"/>
      <c r="B50" s="587" t="s">
        <v>292</v>
      </c>
      <c r="C50" s="587"/>
      <c r="D50" s="587"/>
      <c r="E50" s="588"/>
      <c r="F50" s="341"/>
      <c r="G50" s="342">
        <v>0.24</v>
      </c>
      <c r="H50" s="343" t="s">
        <v>248</v>
      </c>
      <c r="I50" s="344">
        <v>0.67</v>
      </c>
      <c r="J50" s="345"/>
      <c r="K50" s="346">
        <f>G50*35.315</f>
        <v>8.4756</v>
      </c>
      <c r="L50" s="347" t="s">
        <v>248</v>
      </c>
      <c r="M50" s="348">
        <f t="shared" si="0"/>
        <v>23.661049999999999</v>
      </c>
      <c r="N50" s="345"/>
      <c r="O50" s="349">
        <f>1/G50</f>
        <v>4.166666666666667</v>
      </c>
      <c r="P50" s="350" t="s">
        <v>248</v>
      </c>
      <c r="Q50" s="351">
        <f>1/I50</f>
        <v>1.4925373134328357</v>
      </c>
      <c r="R50" s="338"/>
    </row>
    <row r="51" spans="1:18" ht="15" customHeight="1">
      <c r="A51" s="338"/>
      <c r="B51" s="601" t="s">
        <v>293</v>
      </c>
      <c r="C51" s="601"/>
      <c r="D51" s="601"/>
      <c r="E51" s="593"/>
      <c r="F51" s="341"/>
      <c r="G51" s="342">
        <v>0.67</v>
      </c>
      <c r="H51" s="343" t="s">
        <v>248</v>
      </c>
      <c r="I51" s="344">
        <v>0.84</v>
      </c>
      <c r="J51" s="345"/>
      <c r="K51" s="355">
        <f>G51*35.315</f>
        <v>23.661049999999999</v>
      </c>
      <c r="L51" s="356" t="s">
        <v>248</v>
      </c>
      <c r="M51" s="357">
        <f t="shared" si="0"/>
        <v>29.664599999999997</v>
      </c>
      <c r="N51" s="345"/>
      <c r="O51" s="358">
        <f>1/G51</f>
        <v>1.4925373134328357</v>
      </c>
      <c r="P51" s="359" t="s">
        <v>248</v>
      </c>
      <c r="Q51" s="360">
        <f>1/I51</f>
        <v>1.1904761904761905</v>
      </c>
      <c r="R51" s="338"/>
    </row>
    <row r="52" spans="1:18" ht="15" customHeight="1">
      <c r="A52" s="338"/>
      <c r="B52" s="593" t="s">
        <v>294</v>
      </c>
      <c r="C52" s="594"/>
      <c r="D52" s="594"/>
      <c r="E52" s="594"/>
      <c r="F52" s="341"/>
      <c r="G52" s="361"/>
      <c r="H52" s="362">
        <v>2</v>
      </c>
      <c r="I52" s="363"/>
      <c r="J52" s="345"/>
      <c r="K52" s="355" t="s">
        <v>251</v>
      </c>
      <c r="L52" s="356">
        <f>H52*35.315</f>
        <v>70.63</v>
      </c>
      <c r="M52" s="357" t="s">
        <v>251</v>
      </c>
      <c r="N52" s="345"/>
      <c r="O52" s="358" t="s">
        <v>251</v>
      </c>
      <c r="P52" s="359">
        <f>1/H52</f>
        <v>0.5</v>
      </c>
      <c r="Q52" s="360" t="s">
        <v>251</v>
      </c>
      <c r="R52" s="338"/>
    </row>
    <row r="53" spans="1:18" ht="15" customHeight="1">
      <c r="A53" s="338"/>
      <c r="B53" s="364" t="s">
        <v>295</v>
      </c>
      <c r="C53" s="365"/>
      <c r="D53" s="365"/>
      <c r="E53" s="365"/>
      <c r="F53" s="341"/>
      <c r="G53" s="366"/>
      <c r="H53" s="367"/>
      <c r="I53" s="368"/>
      <c r="J53" s="345"/>
      <c r="K53" s="369" t="s">
        <v>251</v>
      </c>
      <c r="L53" s="370" t="s">
        <v>251</v>
      </c>
      <c r="M53" s="371" t="s">
        <v>251</v>
      </c>
      <c r="N53" s="345"/>
      <c r="O53" s="372" t="s">
        <v>251</v>
      </c>
      <c r="P53" s="373" t="s">
        <v>251</v>
      </c>
      <c r="Q53" s="374" t="s">
        <v>251</v>
      </c>
      <c r="R53" s="338"/>
    </row>
    <row r="54" spans="1:18" ht="15" customHeight="1">
      <c r="A54" s="338"/>
      <c r="B54" s="375" t="s">
        <v>296</v>
      </c>
      <c r="C54" s="376"/>
      <c r="D54" s="376"/>
      <c r="E54" s="376"/>
      <c r="F54" s="341"/>
      <c r="G54" s="377"/>
      <c r="H54" s="378"/>
      <c r="I54" s="379"/>
      <c r="J54" s="345"/>
      <c r="K54" s="352" t="s">
        <v>251</v>
      </c>
      <c r="L54" s="353" t="s">
        <v>251</v>
      </c>
      <c r="M54" s="354" t="s">
        <v>251</v>
      </c>
      <c r="N54" s="345"/>
      <c r="O54" s="380" t="s">
        <v>251</v>
      </c>
      <c r="P54" s="381" t="s">
        <v>251</v>
      </c>
      <c r="Q54" s="382" t="s">
        <v>251</v>
      </c>
      <c r="R54" s="338"/>
    </row>
    <row r="55" spans="1:18" ht="15" customHeight="1">
      <c r="A55" s="338"/>
      <c r="B55" s="602" t="s">
        <v>297</v>
      </c>
      <c r="C55" s="602"/>
      <c r="D55" s="602"/>
      <c r="E55" s="596"/>
      <c r="F55" s="341"/>
      <c r="G55" s="342"/>
      <c r="H55" s="343">
        <v>1.4</v>
      </c>
      <c r="I55" s="344"/>
      <c r="J55" s="345"/>
      <c r="K55" s="352" t="s">
        <v>251</v>
      </c>
      <c r="L55" s="353">
        <f>H55*35.315</f>
        <v>49.440999999999995</v>
      </c>
      <c r="M55" s="354" t="s">
        <v>251</v>
      </c>
      <c r="N55" s="345"/>
      <c r="O55" s="380" t="s">
        <v>251</v>
      </c>
      <c r="P55" s="381">
        <f>1/H55</f>
        <v>0.7142857142857143</v>
      </c>
      <c r="Q55" s="382" t="s">
        <v>251</v>
      </c>
      <c r="R55" s="338"/>
    </row>
    <row r="56" spans="1:18" ht="15" customHeight="1">
      <c r="A56" s="338"/>
      <c r="B56" s="587" t="s">
        <v>298</v>
      </c>
      <c r="C56" s="587"/>
      <c r="D56" s="587"/>
      <c r="E56" s="588"/>
      <c r="F56" s="341"/>
      <c r="G56" s="342">
        <v>0.32</v>
      </c>
      <c r="H56" s="343" t="s">
        <v>248</v>
      </c>
      <c r="I56" s="344">
        <v>0.7</v>
      </c>
      <c r="J56" s="345"/>
      <c r="K56" s="346">
        <f>G56*35.315</f>
        <v>11.300799999999999</v>
      </c>
      <c r="L56" s="347" t="s">
        <v>248</v>
      </c>
      <c r="M56" s="348">
        <f t="shared" si="0"/>
        <v>24.720499999999998</v>
      </c>
      <c r="N56" s="345"/>
      <c r="O56" s="349">
        <f>1/G56</f>
        <v>3.125</v>
      </c>
      <c r="P56" s="350" t="s">
        <v>248</v>
      </c>
      <c r="Q56" s="351">
        <f>1/I56</f>
        <v>1.4285714285714286</v>
      </c>
      <c r="R56" s="338"/>
    </row>
    <row r="57" spans="1:18" ht="15" customHeight="1">
      <c r="A57" s="338"/>
      <c r="B57" s="587" t="s">
        <v>299</v>
      </c>
      <c r="C57" s="587"/>
      <c r="D57" s="587"/>
      <c r="E57" s="588"/>
      <c r="F57" s="341"/>
      <c r="G57" s="342"/>
      <c r="H57" s="343">
        <v>1.53</v>
      </c>
      <c r="I57" s="344"/>
      <c r="J57" s="345"/>
      <c r="K57" s="346" t="s">
        <v>251</v>
      </c>
      <c r="L57" s="347">
        <f>H57*35.315</f>
        <v>54.031949999999995</v>
      </c>
      <c r="M57" s="348" t="s">
        <v>251</v>
      </c>
      <c r="N57" s="345"/>
      <c r="O57" s="349" t="s">
        <v>251</v>
      </c>
      <c r="P57" s="350">
        <f>1/H57</f>
        <v>0.65359477124183007</v>
      </c>
      <c r="Q57" s="351" t="s">
        <v>251</v>
      </c>
      <c r="R57" s="338"/>
    </row>
    <row r="58" spans="1:18" ht="15" customHeight="1">
      <c r="A58" s="338"/>
      <c r="B58" s="587" t="s">
        <v>300</v>
      </c>
      <c r="C58" s="587"/>
      <c r="D58" s="587"/>
      <c r="E58" s="588"/>
      <c r="F58" s="341"/>
      <c r="G58" s="342"/>
      <c r="H58" s="343">
        <v>1.21</v>
      </c>
      <c r="I58" s="344"/>
      <c r="J58" s="345"/>
      <c r="K58" s="346" t="s">
        <v>251</v>
      </c>
      <c r="L58" s="347">
        <f>H58*35.315</f>
        <v>42.73115</v>
      </c>
      <c r="M58" s="348" t="s">
        <v>251</v>
      </c>
      <c r="N58" s="345"/>
      <c r="O58" s="349" t="s">
        <v>251</v>
      </c>
      <c r="P58" s="350">
        <f>1/H58</f>
        <v>0.82644628099173556</v>
      </c>
      <c r="Q58" s="351" t="s">
        <v>251</v>
      </c>
      <c r="R58" s="338"/>
    </row>
    <row r="59" spans="1:18" ht="15" customHeight="1">
      <c r="A59" s="338"/>
      <c r="B59" s="587" t="s">
        <v>301</v>
      </c>
      <c r="C59" s="587"/>
      <c r="D59" s="587"/>
      <c r="E59" s="588"/>
      <c r="F59" s="341"/>
      <c r="G59" s="342">
        <v>0.81</v>
      </c>
      <c r="H59" s="343" t="s">
        <v>248</v>
      </c>
      <c r="I59" s="344">
        <v>1.1200000000000001</v>
      </c>
      <c r="J59" s="345"/>
      <c r="K59" s="346">
        <f>G59*35.315</f>
        <v>28.605149999999998</v>
      </c>
      <c r="L59" s="347" t="s">
        <v>248</v>
      </c>
      <c r="M59" s="348">
        <f t="shared" si="0"/>
        <v>39.552799999999998</v>
      </c>
      <c r="N59" s="345"/>
      <c r="O59" s="349">
        <f>1/G59</f>
        <v>1.2345679012345678</v>
      </c>
      <c r="P59" s="350" t="s">
        <v>248</v>
      </c>
      <c r="Q59" s="351">
        <f>1/I59</f>
        <v>0.89285714285714279</v>
      </c>
      <c r="R59" s="338"/>
    </row>
    <row r="60" spans="1:18" ht="15" customHeight="1">
      <c r="A60" s="338"/>
      <c r="B60" s="587" t="s">
        <v>302</v>
      </c>
      <c r="C60" s="587"/>
      <c r="D60" s="587"/>
      <c r="E60" s="588"/>
      <c r="F60" s="341"/>
      <c r="G60" s="342"/>
      <c r="H60" s="343">
        <v>3.29</v>
      </c>
      <c r="I60" s="344"/>
      <c r="J60" s="345"/>
      <c r="K60" s="346" t="s">
        <v>251</v>
      </c>
      <c r="L60" s="347">
        <f>H60*35.315</f>
        <v>116.18634999999999</v>
      </c>
      <c r="M60" s="348" t="s">
        <v>251</v>
      </c>
      <c r="N60" s="345"/>
      <c r="O60" s="349" t="s">
        <v>251</v>
      </c>
      <c r="P60" s="350">
        <f>1/H60</f>
        <v>0.303951367781155</v>
      </c>
      <c r="Q60" s="351" t="s">
        <v>251</v>
      </c>
      <c r="R60" s="338"/>
    </row>
    <row r="61" spans="1:18" ht="15" customHeight="1">
      <c r="A61" s="338"/>
      <c r="B61" s="587" t="s">
        <v>303</v>
      </c>
      <c r="C61" s="587"/>
      <c r="D61" s="587"/>
      <c r="E61" s="588"/>
      <c r="F61" s="341"/>
      <c r="G61" s="342"/>
      <c r="H61" s="343">
        <v>0.59</v>
      </c>
      <c r="I61" s="344"/>
      <c r="J61" s="345"/>
      <c r="K61" s="346" t="s">
        <v>251</v>
      </c>
      <c r="L61" s="347">
        <f>H61*35.315</f>
        <v>20.835849999999997</v>
      </c>
      <c r="M61" s="348" t="s">
        <v>251</v>
      </c>
      <c r="N61" s="345"/>
      <c r="O61" s="349" t="s">
        <v>251</v>
      </c>
      <c r="P61" s="350">
        <f>1/H61</f>
        <v>1.6949152542372883</v>
      </c>
      <c r="Q61" s="351" t="s">
        <v>251</v>
      </c>
      <c r="R61" s="338"/>
    </row>
    <row r="62" spans="1:18" ht="15" customHeight="1">
      <c r="A62" s="338"/>
      <c r="B62" s="587" t="s">
        <v>304</v>
      </c>
      <c r="C62" s="587"/>
      <c r="D62" s="587"/>
      <c r="E62" s="588"/>
      <c r="F62" s="341"/>
      <c r="G62" s="377"/>
      <c r="H62" s="378">
        <v>0.47</v>
      </c>
      <c r="I62" s="379"/>
      <c r="J62" s="345"/>
      <c r="K62" s="346" t="s">
        <v>251</v>
      </c>
      <c r="L62" s="347">
        <f>H62*35.315</f>
        <v>16.598049999999997</v>
      </c>
      <c r="M62" s="348" t="s">
        <v>251</v>
      </c>
      <c r="N62" s="345"/>
      <c r="O62" s="349" t="s">
        <v>251</v>
      </c>
      <c r="P62" s="350">
        <f>1/H62</f>
        <v>2.1276595744680851</v>
      </c>
      <c r="Q62" s="351" t="s">
        <v>251</v>
      </c>
      <c r="R62" s="338"/>
    </row>
    <row r="63" spans="1:18" ht="15" customHeight="1">
      <c r="A63" s="338"/>
      <c r="B63" s="587" t="s">
        <v>305</v>
      </c>
      <c r="C63" s="587"/>
      <c r="D63" s="587"/>
      <c r="E63" s="588"/>
      <c r="F63" s="341"/>
      <c r="G63" s="342">
        <v>0.98</v>
      </c>
      <c r="H63" s="343" t="s">
        <v>248</v>
      </c>
      <c r="I63" s="344">
        <v>1.6</v>
      </c>
      <c r="J63" s="345"/>
      <c r="K63" s="346">
        <f>G63*35.315</f>
        <v>34.608699999999999</v>
      </c>
      <c r="L63" s="347" t="s">
        <v>248</v>
      </c>
      <c r="M63" s="348">
        <f t="shared" si="0"/>
        <v>56.503999999999998</v>
      </c>
      <c r="N63" s="345"/>
      <c r="O63" s="349">
        <f>1/G63</f>
        <v>1.0204081632653061</v>
      </c>
      <c r="P63" s="350" t="s">
        <v>248</v>
      </c>
      <c r="Q63" s="351">
        <f>1/I63</f>
        <v>0.625</v>
      </c>
      <c r="R63" s="338"/>
    </row>
    <row r="64" spans="1:18" ht="15" customHeight="1">
      <c r="A64" s="338"/>
      <c r="B64" s="383"/>
      <c r="C64" s="383"/>
      <c r="D64" s="383"/>
      <c r="E64" s="383"/>
      <c r="F64" s="384"/>
      <c r="G64" s="385"/>
      <c r="H64" s="386"/>
      <c r="I64" s="386"/>
      <c r="J64" s="387"/>
      <c r="K64" s="388"/>
      <c r="L64" s="388"/>
      <c r="M64" s="388"/>
      <c r="N64" s="387"/>
      <c r="O64" s="389"/>
      <c r="P64" s="389"/>
      <c r="Q64" s="389"/>
      <c r="R64" s="338"/>
    </row>
    <row r="65" spans="1:18" ht="15" customHeight="1">
      <c r="A65" s="338"/>
      <c r="B65" s="365"/>
      <c r="C65" s="365"/>
      <c r="D65" s="365"/>
      <c r="E65" s="365"/>
      <c r="F65" s="390"/>
      <c r="G65" s="366"/>
      <c r="H65" s="367"/>
      <c r="I65" s="367"/>
      <c r="J65" s="345"/>
      <c r="K65" s="370"/>
      <c r="L65" s="370"/>
      <c r="M65" s="370"/>
      <c r="N65" s="345"/>
      <c r="O65" s="373"/>
      <c r="P65" s="373"/>
      <c r="Q65" s="373"/>
      <c r="R65" s="338"/>
    </row>
    <row r="66" spans="1:18" ht="15" customHeight="1">
      <c r="A66" s="338"/>
      <c r="B66" s="391" t="s">
        <v>306</v>
      </c>
      <c r="C66" s="391"/>
      <c r="D66" s="391"/>
      <c r="E66" s="365"/>
      <c r="F66" s="392"/>
      <c r="G66" s="366"/>
      <c r="H66" s="345"/>
      <c r="I66" s="345"/>
      <c r="J66" s="393"/>
      <c r="K66" s="345"/>
      <c r="L66" s="345"/>
      <c r="M66" s="345"/>
      <c r="N66" s="345"/>
      <c r="O66" s="373" t="s">
        <v>251</v>
      </c>
      <c r="P66" s="373" t="s">
        <v>251</v>
      </c>
      <c r="Q66" s="373" t="s">
        <v>251</v>
      </c>
      <c r="R66" s="338"/>
    </row>
    <row r="67" spans="1:18" ht="15" customHeight="1">
      <c r="A67" s="338"/>
      <c r="B67" s="391"/>
      <c r="C67" s="391"/>
      <c r="D67" s="391"/>
      <c r="E67" s="376"/>
      <c r="F67" s="394"/>
      <c r="G67" s="599" t="s">
        <v>244</v>
      </c>
      <c r="H67" s="599"/>
      <c r="I67" s="600"/>
      <c r="J67" s="395"/>
      <c r="K67" s="603" t="s">
        <v>245</v>
      </c>
      <c r="L67" s="599"/>
      <c r="M67" s="600"/>
      <c r="N67" s="395"/>
      <c r="O67" s="604" t="s">
        <v>246</v>
      </c>
      <c r="P67" s="605"/>
      <c r="Q67" s="606"/>
      <c r="R67" s="338"/>
    </row>
    <row r="68" spans="1:18" ht="15" customHeight="1">
      <c r="A68" s="338"/>
      <c r="B68" s="587" t="s">
        <v>307</v>
      </c>
      <c r="C68" s="587"/>
      <c r="D68" s="587"/>
      <c r="E68" s="588"/>
      <c r="F68" s="341"/>
      <c r="G68" s="343"/>
      <c r="H68" s="343">
        <v>1.1200000000000001</v>
      </c>
      <c r="I68" s="344"/>
      <c r="J68" s="396"/>
      <c r="K68" s="346"/>
      <c r="L68" s="347">
        <f>H68*35.315</f>
        <v>39.552799999999998</v>
      </c>
      <c r="M68" s="348"/>
      <c r="N68" s="345"/>
      <c r="O68" s="349" t="s">
        <v>251</v>
      </c>
      <c r="P68" s="350">
        <f>1/H68</f>
        <v>0.89285714285714279</v>
      </c>
      <c r="Q68" s="351" t="s">
        <v>251</v>
      </c>
      <c r="R68" s="338"/>
    </row>
    <row r="69" spans="1:18" ht="15" customHeight="1">
      <c r="A69" s="338"/>
      <c r="B69" s="587" t="s">
        <v>308</v>
      </c>
      <c r="C69" s="587"/>
      <c r="D69" s="587"/>
      <c r="E69" s="588"/>
      <c r="F69" s="341"/>
      <c r="G69" s="343">
        <v>0.64</v>
      </c>
      <c r="H69" s="343" t="s">
        <v>248</v>
      </c>
      <c r="I69" s="344">
        <v>1.26</v>
      </c>
      <c r="J69" s="396"/>
      <c r="K69" s="346">
        <f>G69*35.315</f>
        <v>22.601599999999998</v>
      </c>
      <c r="L69" s="347" t="s">
        <v>248</v>
      </c>
      <c r="M69" s="348">
        <f>I69*35.315</f>
        <v>44.496899999999997</v>
      </c>
      <c r="N69" s="345"/>
      <c r="O69" s="349">
        <f>1/G69</f>
        <v>1.5625</v>
      </c>
      <c r="P69" s="350" t="s">
        <v>248</v>
      </c>
      <c r="Q69" s="351">
        <f>1/I69</f>
        <v>0.79365079365079361</v>
      </c>
      <c r="R69" s="338"/>
    </row>
    <row r="70" spans="1:18" ht="15" customHeight="1">
      <c r="A70" s="338"/>
      <c r="B70" s="587" t="s">
        <v>309</v>
      </c>
      <c r="C70" s="587"/>
      <c r="D70" s="587"/>
      <c r="E70" s="588"/>
      <c r="F70" s="341"/>
      <c r="G70" s="343"/>
      <c r="H70" s="343">
        <v>0.7</v>
      </c>
      <c r="I70" s="344"/>
      <c r="J70" s="396"/>
      <c r="K70" s="346" t="s">
        <v>251</v>
      </c>
      <c r="L70" s="347">
        <f>H70*35.315</f>
        <v>24.720499999999998</v>
      </c>
      <c r="M70" s="348" t="s">
        <v>251</v>
      </c>
      <c r="N70" s="345"/>
      <c r="O70" s="349" t="s">
        <v>251</v>
      </c>
      <c r="P70" s="350">
        <f>1/H70</f>
        <v>1.4285714285714286</v>
      </c>
      <c r="Q70" s="351" t="s">
        <v>251</v>
      </c>
      <c r="R70" s="338"/>
    </row>
    <row r="71" spans="1:18" ht="15" customHeight="1">
      <c r="A71" s="338"/>
      <c r="B71" s="587" t="s">
        <v>310</v>
      </c>
      <c r="C71" s="587"/>
      <c r="D71" s="587"/>
      <c r="E71" s="588"/>
      <c r="F71" s="341"/>
      <c r="G71" s="343"/>
      <c r="H71" s="343">
        <v>0.3</v>
      </c>
      <c r="I71" s="344"/>
      <c r="J71" s="396"/>
      <c r="K71" s="346" t="s">
        <v>251</v>
      </c>
      <c r="L71" s="347">
        <f>H71*35.315</f>
        <v>10.594499999999998</v>
      </c>
      <c r="M71" s="348" t="s">
        <v>251</v>
      </c>
      <c r="N71" s="345"/>
      <c r="O71" s="349" t="s">
        <v>251</v>
      </c>
      <c r="P71" s="350">
        <f>1/H71</f>
        <v>3.3333333333333335</v>
      </c>
      <c r="Q71" s="351" t="s">
        <v>251</v>
      </c>
      <c r="R71" s="338"/>
    </row>
    <row r="72" spans="1:18" ht="15" customHeight="1">
      <c r="A72" s="338"/>
      <c r="B72" s="587" t="s">
        <v>311</v>
      </c>
      <c r="C72" s="587"/>
      <c r="D72" s="587"/>
      <c r="E72" s="588"/>
      <c r="F72" s="341"/>
      <c r="G72" s="343">
        <v>0.77</v>
      </c>
      <c r="H72" s="343" t="s">
        <v>248</v>
      </c>
      <c r="I72" s="344">
        <v>1.03</v>
      </c>
      <c r="J72" s="396"/>
      <c r="K72" s="346">
        <f t="shared" ref="K72:K96" si="1">G72*35.315</f>
        <v>27.192549999999997</v>
      </c>
      <c r="L72" s="347" t="s">
        <v>248</v>
      </c>
      <c r="M72" s="348">
        <f t="shared" ref="M72:M96" si="2">I72*35.315</f>
        <v>36.374449999999996</v>
      </c>
      <c r="N72" s="345"/>
      <c r="O72" s="349">
        <f>1/G72</f>
        <v>1.2987012987012987</v>
      </c>
      <c r="P72" s="350" t="s">
        <v>248</v>
      </c>
      <c r="Q72" s="351">
        <f>1/I72</f>
        <v>0.970873786407767</v>
      </c>
      <c r="R72" s="338"/>
    </row>
    <row r="73" spans="1:18" ht="15" customHeight="1">
      <c r="A73" s="338"/>
      <c r="B73" s="587" t="s">
        <v>312</v>
      </c>
      <c r="C73" s="587"/>
      <c r="D73" s="587"/>
      <c r="E73" s="588"/>
      <c r="F73" s="341"/>
      <c r="G73" s="343"/>
      <c r="H73" s="343">
        <v>0.9</v>
      </c>
      <c r="I73" s="344"/>
      <c r="J73" s="396"/>
      <c r="K73" s="346" t="s">
        <v>251</v>
      </c>
      <c r="L73" s="347">
        <f>H73*35.315</f>
        <v>31.7835</v>
      </c>
      <c r="M73" s="348" t="s">
        <v>251</v>
      </c>
      <c r="N73" s="345"/>
      <c r="O73" s="349" t="s">
        <v>251</v>
      </c>
      <c r="P73" s="350">
        <f>1/H73</f>
        <v>1.1111111111111112</v>
      </c>
      <c r="Q73" s="351" t="s">
        <v>251</v>
      </c>
      <c r="R73" s="338"/>
    </row>
    <row r="74" spans="1:18" ht="15" customHeight="1">
      <c r="A74" s="338"/>
      <c r="B74" s="587" t="s">
        <v>313</v>
      </c>
      <c r="C74" s="587"/>
      <c r="D74" s="587"/>
      <c r="E74" s="588"/>
      <c r="F74" s="341"/>
      <c r="G74" s="343">
        <v>1.9</v>
      </c>
      <c r="H74" s="343" t="s">
        <v>248</v>
      </c>
      <c r="I74" s="344">
        <v>3.25</v>
      </c>
      <c r="J74" s="396"/>
      <c r="K74" s="346">
        <f t="shared" si="1"/>
        <v>67.098499999999987</v>
      </c>
      <c r="L74" s="347" t="s">
        <v>248</v>
      </c>
      <c r="M74" s="348">
        <f t="shared" si="2"/>
        <v>114.77374999999999</v>
      </c>
      <c r="N74" s="345"/>
      <c r="O74" s="349">
        <f t="shared" ref="O74:O96" si="3">1/G74</f>
        <v>0.52631578947368418</v>
      </c>
      <c r="P74" s="350" t="s">
        <v>248</v>
      </c>
      <c r="Q74" s="351">
        <f t="shared" ref="Q74:Q96" si="4">1/I74</f>
        <v>0.30769230769230771</v>
      </c>
      <c r="R74" s="338"/>
    </row>
    <row r="75" spans="1:18" ht="15" customHeight="1">
      <c r="A75" s="338"/>
      <c r="B75" s="587" t="s">
        <v>314</v>
      </c>
      <c r="C75" s="587"/>
      <c r="D75" s="587"/>
      <c r="E75" s="588"/>
      <c r="F75" s="341"/>
      <c r="G75" s="343">
        <v>0.33</v>
      </c>
      <c r="H75" s="343" t="s">
        <v>248</v>
      </c>
      <c r="I75" s="344">
        <v>0.5</v>
      </c>
      <c r="J75" s="396"/>
      <c r="K75" s="346">
        <f t="shared" si="1"/>
        <v>11.65395</v>
      </c>
      <c r="L75" s="347" t="s">
        <v>248</v>
      </c>
      <c r="M75" s="348">
        <f t="shared" si="2"/>
        <v>17.657499999999999</v>
      </c>
      <c r="N75" s="345"/>
      <c r="O75" s="349">
        <f t="shared" si="3"/>
        <v>3.0303030303030303</v>
      </c>
      <c r="P75" s="350" t="s">
        <v>248</v>
      </c>
      <c r="Q75" s="351">
        <f t="shared" si="4"/>
        <v>2</v>
      </c>
      <c r="R75" s="338"/>
    </row>
    <row r="76" spans="1:18" ht="15" customHeight="1">
      <c r="A76" s="338"/>
      <c r="B76" s="587" t="s">
        <v>315</v>
      </c>
      <c r="C76" s="587"/>
      <c r="D76" s="587"/>
      <c r="E76" s="588"/>
      <c r="F76" s="341"/>
      <c r="G76" s="343"/>
      <c r="H76" s="343">
        <v>0.5</v>
      </c>
      <c r="I76" s="344"/>
      <c r="J76" s="396"/>
      <c r="K76" s="346" t="s">
        <v>251</v>
      </c>
      <c r="L76" s="347">
        <f>H76*35.315</f>
        <v>17.657499999999999</v>
      </c>
      <c r="M76" s="348" t="s">
        <v>251</v>
      </c>
      <c r="N76" s="345"/>
      <c r="O76" s="349" t="s">
        <v>251</v>
      </c>
      <c r="P76" s="350">
        <f>1/H76</f>
        <v>2</v>
      </c>
      <c r="Q76" s="351" t="s">
        <v>251</v>
      </c>
      <c r="R76" s="338"/>
    </row>
    <row r="77" spans="1:18" ht="15" customHeight="1">
      <c r="A77" s="338"/>
      <c r="B77" s="587" t="s">
        <v>316</v>
      </c>
      <c r="C77" s="587"/>
      <c r="D77" s="587"/>
      <c r="E77" s="588"/>
      <c r="F77" s="341"/>
      <c r="G77" s="343"/>
      <c r="H77" s="343">
        <v>0.6</v>
      </c>
      <c r="I77" s="344"/>
      <c r="J77" s="396"/>
      <c r="K77" s="346" t="s">
        <v>251</v>
      </c>
      <c r="L77" s="347">
        <f>H77*35.315</f>
        <v>21.188999999999997</v>
      </c>
      <c r="M77" s="348" t="s">
        <v>251</v>
      </c>
      <c r="N77" s="345"/>
      <c r="O77" s="349" t="s">
        <v>251</v>
      </c>
      <c r="P77" s="350">
        <f>1/H77</f>
        <v>1.6666666666666667</v>
      </c>
      <c r="Q77" s="351" t="s">
        <v>251</v>
      </c>
      <c r="R77" s="338"/>
    </row>
    <row r="78" spans="1:18" ht="15" customHeight="1">
      <c r="A78" s="338"/>
      <c r="B78" s="587" t="s">
        <v>317</v>
      </c>
      <c r="C78" s="587"/>
      <c r="D78" s="587"/>
      <c r="E78" s="588"/>
      <c r="F78" s="341"/>
      <c r="G78" s="343"/>
      <c r="H78" s="343">
        <v>0.64</v>
      </c>
      <c r="I78" s="344"/>
      <c r="J78" s="396"/>
      <c r="K78" s="346" t="s">
        <v>251</v>
      </c>
      <c r="L78" s="347">
        <f>H78*35.315</f>
        <v>22.601599999999998</v>
      </c>
      <c r="M78" s="348" t="s">
        <v>251</v>
      </c>
      <c r="N78" s="345"/>
      <c r="O78" s="349" t="s">
        <v>251</v>
      </c>
      <c r="P78" s="350">
        <f>1/H78</f>
        <v>1.5625</v>
      </c>
      <c r="Q78" s="351" t="s">
        <v>251</v>
      </c>
      <c r="R78" s="338"/>
    </row>
    <row r="79" spans="1:18" ht="15" customHeight="1">
      <c r="A79" s="338"/>
      <c r="B79" s="587" t="s">
        <v>318</v>
      </c>
      <c r="C79" s="587"/>
      <c r="D79" s="587"/>
      <c r="E79" s="588"/>
      <c r="F79" s="341"/>
      <c r="G79" s="343">
        <v>0.67</v>
      </c>
      <c r="H79" s="343" t="s">
        <v>248</v>
      </c>
      <c r="I79" s="344">
        <v>0.78</v>
      </c>
      <c r="J79" s="396"/>
      <c r="K79" s="346">
        <f t="shared" si="1"/>
        <v>23.661049999999999</v>
      </c>
      <c r="L79" s="347" t="s">
        <v>248</v>
      </c>
      <c r="M79" s="348">
        <f t="shared" si="2"/>
        <v>27.5457</v>
      </c>
      <c r="N79" s="345"/>
      <c r="O79" s="349">
        <f t="shared" si="3"/>
        <v>1.4925373134328357</v>
      </c>
      <c r="P79" s="350" t="s">
        <v>248</v>
      </c>
      <c r="Q79" s="351">
        <f t="shared" si="4"/>
        <v>1.2820512820512819</v>
      </c>
      <c r="R79" s="338"/>
    </row>
    <row r="80" spans="1:18" ht="15" customHeight="1">
      <c r="A80" s="338"/>
      <c r="B80" s="587" t="s">
        <v>319</v>
      </c>
      <c r="C80" s="587"/>
      <c r="D80" s="587"/>
      <c r="E80" s="588"/>
      <c r="F80" s="341"/>
      <c r="G80" s="343"/>
      <c r="H80" s="343">
        <v>0.39</v>
      </c>
      <c r="I80" s="344"/>
      <c r="J80" s="396"/>
      <c r="K80" s="346" t="s">
        <v>251</v>
      </c>
      <c r="L80" s="347">
        <f>H80*35.315</f>
        <v>13.77285</v>
      </c>
      <c r="M80" s="348" t="s">
        <v>251</v>
      </c>
      <c r="N80" s="345"/>
      <c r="O80" s="349" t="s">
        <v>251</v>
      </c>
      <c r="P80" s="350">
        <f>1/H80</f>
        <v>2.5641025641025639</v>
      </c>
      <c r="Q80" s="351" t="s">
        <v>251</v>
      </c>
      <c r="R80" s="338"/>
    </row>
    <row r="81" spans="1:18" ht="15" customHeight="1">
      <c r="A81" s="338"/>
      <c r="B81" s="587" t="s">
        <v>320</v>
      </c>
      <c r="C81" s="587"/>
      <c r="D81" s="587"/>
      <c r="E81" s="588"/>
      <c r="F81" s="341"/>
      <c r="G81" s="343">
        <v>0.81</v>
      </c>
      <c r="H81" s="343" t="s">
        <v>248</v>
      </c>
      <c r="I81" s="344">
        <v>1.1200000000000001</v>
      </c>
      <c r="J81" s="396"/>
      <c r="K81" s="346">
        <f t="shared" si="1"/>
        <v>28.605149999999998</v>
      </c>
      <c r="L81" s="347" t="s">
        <v>248</v>
      </c>
      <c r="M81" s="348">
        <f t="shared" si="2"/>
        <v>39.552799999999998</v>
      </c>
      <c r="N81" s="345"/>
      <c r="O81" s="349">
        <f t="shared" si="3"/>
        <v>1.2345679012345678</v>
      </c>
      <c r="P81" s="350" t="s">
        <v>248</v>
      </c>
      <c r="Q81" s="351">
        <f t="shared" si="4"/>
        <v>0.89285714285714279</v>
      </c>
      <c r="R81" s="338"/>
    </row>
    <row r="82" spans="1:18" ht="15" customHeight="1">
      <c r="A82" s="338"/>
      <c r="B82" s="587" t="s">
        <v>321</v>
      </c>
      <c r="C82" s="587"/>
      <c r="D82" s="587"/>
      <c r="E82" s="588"/>
      <c r="F82" s="341"/>
      <c r="G82" s="343">
        <v>0.89</v>
      </c>
      <c r="H82" s="343" t="s">
        <v>248</v>
      </c>
      <c r="I82" s="344">
        <v>0.95</v>
      </c>
      <c r="J82" s="396"/>
      <c r="K82" s="346">
        <f t="shared" si="1"/>
        <v>31.430349999999997</v>
      </c>
      <c r="L82" s="347" t="s">
        <v>248</v>
      </c>
      <c r="M82" s="348">
        <f t="shared" si="2"/>
        <v>33.549249999999994</v>
      </c>
      <c r="N82" s="345"/>
      <c r="O82" s="349">
        <f t="shared" si="3"/>
        <v>1.1235955056179776</v>
      </c>
      <c r="P82" s="350" t="s">
        <v>248</v>
      </c>
      <c r="Q82" s="351">
        <f t="shared" si="4"/>
        <v>1.0526315789473684</v>
      </c>
      <c r="R82" s="338"/>
    </row>
    <row r="83" spans="1:18" ht="15" customHeight="1">
      <c r="A83" s="338"/>
      <c r="B83" s="587" t="s">
        <v>322</v>
      </c>
      <c r="C83" s="587"/>
      <c r="D83" s="587"/>
      <c r="E83" s="588"/>
      <c r="F83" s="341"/>
      <c r="G83" s="343">
        <v>0.98</v>
      </c>
      <c r="H83" s="343" t="s">
        <v>248</v>
      </c>
      <c r="I83" s="344">
        <v>1.06</v>
      </c>
      <c r="J83" s="396"/>
      <c r="K83" s="346">
        <f t="shared" si="1"/>
        <v>34.608699999999999</v>
      </c>
      <c r="L83" s="347" t="s">
        <v>248</v>
      </c>
      <c r="M83" s="348">
        <f t="shared" si="2"/>
        <v>37.433900000000001</v>
      </c>
      <c r="N83" s="345"/>
      <c r="O83" s="349">
        <f t="shared" si="3"/>
        <v>1.0204081632653061</v>
      </c>
      <c r="P83" s="350" t="s">
        <v>248</v>
      </c>
      <c r="Q83" s="351">
        <f t="shared" si="4"/>
        <v>0.94339622641509424</v>
      </c>
      <c r="R83" s="338"/>
    </row>
    <row r="84" spans="1:18" ht="15" customHeight="1">
      <c r="A84" s="338"/>
      <c r="B84" s="587" t="s">
        <v>323</v>
      </c>
      <c r="C84" s="587"/>
      <c r="D84" s="587"/>
      <c r="E84" s="588"/>
      <c r="F84" s="341"/>
      <c r="G84" s="343">
        <v>0.5</v>
      </c>
      <c r="H84" s="343" t="s">
        <v>248</v>
      </c>
      <c r="I84" s="344">
        <v>0.98</v>
      </c>
      <c r="J84" s="396"/>
      <c r="K84" s="346">
        <f t="shared" si="1"/>
        <v>17.657499999999999</v>
      </c>
      <c r="L84" s="347" t="s">
        <v>248</v>
      </c>
      <c r="M84" s="348">
        <f t="shared" si="2"/>
        <v>34.608699999999999</v>
      </c>
      <c r="N84" s="345"/>
      <c r="O84" s="349">
        <f t="shared" si="3"/>
        <v>2</v>
      </c>
      <c r="P84" s="350" t="s">
        <v>248</v>
      </c>
      <c r="Q84" s="351">
        <f t="shared" si="4"/>
        <v>1.0204081632653061</v>
      </c>
      <c r="R84" s="338"/>
    </row>
    <row r="85" spans="1:18" ht="15" customHeight="1">
      <c r="A85" s="338"/>
      <c r="B85" s="587" t="s">
        <v>324</v>
      </c>
      <c r="C85" s="587"/>
      <c r="D85" s="587"/>
      <c r="E85" s="588"/>
      <c r="F85" s="341"/>
      <c r="G85" s="607" t="s">
        <v>325</v>
      </c>
      <c r="H85" s="607"/>
      <c r="I85" s="608"/>
      <c r="J85" s="396"/>
      <c r="K85" s="609" t="s">
        <v>325</v>
      </c>
      <c r="L85" s="610"/>
      <c r="M85" s="611"/>
      <c r="N85" s="345"/>
      <c r="O85" s="612" t="s">
        <v>325</v>
      </c>
      <c r="P85" s="613"/>
      <c r="Q85" s="614"/>
      <c r="R85" s="338"/>
    </row>
    <row r="86" spans="1:18" ht="15" customHeight="1">
      <c r="A86" s="338"/>
      <c r="B86" s="587" t="s">
        <v>326</v>
      </c>
      <c r="C86" s="587"/>
      <c r="D86" s="587"/>
      <c r="E86" s="588"/>
      <c r="F86" s="341"/>
      <c r="G86" s="343">
        <v>1.39</v>
      </c>
      <c r="H86" s="343" t="s">
        <v>248</v>
      </c>
      <c r="I86" s="344">
        <v>2.09</v>
      </c>
      <c r="J86" s="396"/>
      <c r="K86" s="346">
        <f t="shared" si="1"/>
        <v>49.087849999999996</v>
      </c>
      <c r="L86" s="347" t="s">
        <v>248</v>
      </c>
      <c r="M86" s="348">
        <f t="shared" si="2"/>
        <v>73.80834999999999</v>
      </c>
      <c r="N86" s="345"/>
      <c r="O86" s="349">
        <f t="shared" si="3"/>
        <v>0.71942446043165476</v>
      </c>
      <c r="P86" s="350" t="s">
        <v>248</v>
      </c>
      <c r="Q86" s="351">
        <f t="shared" si="4"/>
        <v>0.47846889952153115</v>
      </c>
      <c r="R86" s="338"/>
    </row>
    <row r="87" spans="1:18" ht="15" customHeight="1">
      <c r="A87" s="338"/>
      <c r="B87" s="587" t="s">
        <v>327</v>
      </c>
      <c r="C87" s="587"/>
      <c r="D87" s="587"/>
      <c r="E87" s="588"/>
      <c r="F87" s="341"/>
      <c r="G87" s="343">
        <v>1.03</v>
      </c>
      <c r="H87" s="343" t="s">
        <v>248</v>
      </c>
      <c r="I87" s="344">
        <v>1.67</v>
      </c>
      <c r="J87" s="396"/>
      <c r="K87" s="346">
        <f t="shared" si="1"/>
        <v>36.374449999999996</v>
      </c>
      <c r="L87" s="347" t="s">
        <v>248</v>
      </c>
      <c r="M87" s="348">
        <f t="shared" si="2"/>
        <v>58.976049999999994</v>
      </c>
      <c r="N87" s="345"/>
      <c r="O87" s="349">
        <f t="shared" si="3"/>
        <v>0.970873786407767</v>
      </c>
      <c r="P87" s="350" t="s">
        <v>248</v>
      </c>
      <c r="Q87" s="351">
        <f t="shared" si="4"/>
        <v>0.5988023952095809</v>
      </c>
      <c r="R87" s="338"/>
    </row>
    <row r="88" spans="1:18" ht="15" customHeight="1">
      <c r="A88" s="338"/>
      <c r="B88" s="587" t="s">
        <v>328</v>
      </c>
      <c r="C88" s="587"/>
      <c r="D88" s="587"/>
      <c r="E88" s="588"/>
      <c r="F88" s="341"/>
      <c r="G88" s="343"/>
      <c r="H88" s="343">
        <v>0.42</v>
      </c>
      <c r="I88" s="344"/>
      <c r="J88" s="396"/>
      <c r="K88" s="346" t="s">
        <v>251</v>
      </c>
      <c r="L88" s="347">
        <f>H88*35.315</f>
        <v>14.832299999999998</v>
      </c>
      <c r="M88" s="348" t="s">
        <v>251</v>
      </c>
      <c r="N88" s="345"/>
      <c r="O88" s="349" t="s">
        <v>251</v>
      </c>
      <c r="P88" s="350">
        <f>1/H88</f>
        <v>2.3809523809523809</v>
      </c>
      <c r="Q88" s="351" t="s">
        <v>251</v>
      </c>
      <c r="R88" s="338"/>
    </row>
    <row r="89" spans="1:18" ht="15" customHeight="1">
      <c r="A89" s="338"/>
      <c r="B89" s="587" t="s">
        <v>329</v>
      </c>
      <c r="C89" s="587"/>
      <c r="D89" s="587"/>
      <c r="E89" s="588"/>
      <c r="F89" s="341"/>
      <c r="G89" s="343"/>
      <c r="H89" s="343">
        <v>0.71</v>
      </c>
      <c r="I89" s="344"/>
      <c r="J89" s="396"/>
      <c r="K89" s="346" t="s">
        <v>251</v>
      </c>
      <c r="L89" s="347">
        <f>H89*35.315</f>
        <v>25.073649999999997</v>
      </c>
      <c r="M89" s="348" t="s">
        <v>251</v>
      </c>
      <c r="N89" s="345"/>
      <c r="O89" s="349" t="s">
        <v>251</v>
      </c>
      <c r="P89" s="350">
        <f>1/H89</f>
        <v>1.4084507042253522</v>
      </c>
      <c r="Q89" s="351" t="s">
        <v>251</v>
      </c>
      <c r="R89" s="338"/>
    </row>
    <row r="90" spans="1:18" ht="15" customHeight="1">
      <c r="A90" s="338"/>
      <c r="B90" s="587" t="s">
        <v>330</v>
      </c>
      <c r="C90" s="587"/>
      <c r="D90" s="587"/>
      <c r="E90" s="588"/>
      <c r="F90" s="341"/>
      <c r="G90" s="343">
        <v>1</v>
      </c>
      <c r="H90" s="343" t="s">
        <v>248</v>
      </c>
      <c r="I90" s="344">
        <v>1.6</v>
      </c>
      <c r="J90" s="396"/>
      <c r="K90" s="346">
        <f t="shared" si="1"/>
        <v>35.314999999999998</v>
      </c>
      <c r="L90" s="347" t="s">
        <v>248</v>
      </c>
      <c r="M90" s="348">
        <f t="shared" si="2"/>
        <v>56.503999999999998</v>
      </c>
      <c r="N90" s="345"/>
      <c r="O90" s="349">
        <f t="shared" si="3"/>
        <v>1</v>
      </c>
      <c r="P90" s="350" t="s">
        <v>248</v>
      </c>
      <c r="Q90" s="351">
        <f t="shared" si="4"/>
        <v>0.625</v>
      </c>
      <c r="R90" s="338"/>
    </row>
    <row r="91" spans="1:18" ht="15" customHeight="1">
      <c r="A91" s="338"/>
      <c r="B91" s="587" t="s">
        <v>331</v>
      </c>
      <c r="C91" s="587"/>
      <c r="D91" s="587"/>
      <c r="E91" s="588"/>
      <c r="F91" s="341"/>
      <c r="G91" s="343">
        <v>0.89</v>
      </c>
      <c r="H91" s="343" t="s">
        <v>248</v>
      </c>
      <c r="I91" s="344">
        <v>1</v>
      </c>
      <c r="J91" s="396"/>
      <c r="K91" s="346">
        <f t="shared" si="1"/>
        <v>31.430349999999997</v>
      </c>
      <c r="L91" s="347" t="s">
        <v>248</v>
      </c>
      <c r="M91" s="348">
        <f t="shared" si="2"/>
        <v>35.314999999999998</v>
      </c>
      <c r="N91" s="345"/>
      <c r="O91" s="349">
        <f t="shared" si="3"/>
        <v>1.1235955056179776</v>
      </c>
      <c r="P91" s="350" t="s">
        <v>248</v>
      </c>
      <c r="Q91" s="351">
        <f t="shared" si="4"/>
        <v>1</v>
      </c>
      <c r="R91" s="338"/>
    </row>
    <row r="92" spans="1:18" ht="15" customHeight="1">
      <c r="A92" s="338"/>
      <c r="B92" s="587" t="s">
        <v>332</v>
      </c>
      <c r="C92" s="587"/>
      <c r="D92" s="587"/>
      <c r="E92" s="588"/>
      <c r="F92" s="341"/>
      <c r="G92" s="343">
        <v>0.84</v>
      </c>
      <c r="H92" s="343" t="s">
        <v>248</v>
      </c>
      <c r="I92" s="344">
        <v>1</v>
      </c>
      <c r="J92" s="396"/>
      <c r="K92" s="346">
        <f t="shared" si="1"/>
        <v>29.664599999999997</v>
      </c>
      <c r="L92" s="347" t="s">
        <v>248</v>
      </c>
      <c r="M92" s="348">
        <f t="shared" si="2"/>
        <v>35.314999999999998</v>
      </c>
      <c r="N92" s="345"/>
      <c r="O92" s="349">
        <f t="shared" si="3"/>
        <v>1.1904761904761905</v>
      </c>
      <c r="P92" s="350" t="s">
        <v>248</v>
      </c>
      <c r="Q92" s="351">
        <f t="shared" si="4"/>
        <v>1</v>
      </c>
      <c r="R92" s="338"/>
    </row>
    <row r="93" spans="1:18" ht="15" customHeight="1">
      <c r="A93" s="338"/>
      <c r="B93" s="587" t="s">
        <v>333</v>
      </c>
      <c r="C93" s="587"/>
      <c r="D93" s="587"/>
      <c r="E93" s="588"/>
      <c r="F93" s="341"/>
      <c r="G93" s="343">
        <v>1.53</v>
      </c>
      <c r="H93" s="343" t="s">
        <v>248</v>
      </c>
      <c r="I93" s="344">
        <v>1.67</v>
      </c>
      <c r="J93" s="396"/>
      <c r="K93" s="346">
        <f t="shared" si="1"/>
        <v>54.031949999999995</v>
      </c>
      <c r="L93" s="347" t="s">
        <v>248</v>
      </c>
      <c r="M93" s="348">
        <f t="shared" si="2"/>
        <v>58.976049999999994</v>
      </c>
      <c r="N93" s="345"/>
      <c r="O93" s="349">
        <f t="shared" si="3"/>
        <v>0.65359477124183007</v>
      </c>
      <c r="P93" s="350" t="s">
        <v>248</v>
      </c>
      <c r="Q93" s="351">
        <f t="shared" si="4"/>
        <v>0.5988023952095809</v>
      </c>
      <c r="R93" s="338"/>
    </row>
    <row r="94" spans="1:18" ht="15" customHeight="1">
      <c r="A94" s="338"/>
      <c r="B94" s="587" t="s">
        <v>334</v>
      </c>
      <c r="C94" s="587"/>
      <c r="D94" s="587"/>
      <c r="E94" s="588"/>
      <c r="F94" s="341"/>
      <c r="G94" s="343">
        <v>0.64</v>
      </c>
      <c r="H94" s="343" t="s">
        <v>248</v>
      </c>
      <c r="I94" s="344">
        <v>0.73</v>
      </c>
      <c r="J94" s="396"/>
      <c r="K94" s="346">
        <f t="shared" si="1"/>
        <v>22.601599999999998</v>
      </c>
      <c r="L94" s="347" t="s">
        <v>248</v>
      </c>
      <c r="M94" s="348">
        <f t="shared" si="2"/>
        <v>25.779949999999999</v>
      </c>
      <c r="N94" s="345"/>
      <c r="O94" s="349">
        <f t="shared" si="3"/>
        <v>1.5625</v>
      </c>
      <c r="P94" s="350" t="s">
        <v>248</v>
      </c>
      <c r="Q94" s="351">
        <f t="shared" si="4"/>
        <v>1.3698630136986301</v>
      </c>
      <c r="R94" s="338"/>
    </row>
    <row r="95" spans="1:18" ht="15" customHeight="1">
      <c r="A95" s="338"/>
      <c r="B95" s="587" t="s">
        <v>335</v>
      </c>
      <c r="C95" s="587"/>
      <c r="D95" s="587"/>
      <c r="E95" s="588"/>
      <c r="F95" s="341"/>
      <c r="G95" s="343" t="s">
        <v>251</v>
      </c>
      <c r="H95" s="343">
        <v>1.36</v>
      </c>
      <c r="I95" s="344"/>
      <c r="J95" s="396"/>
      <c r="K95" s="346" t="s">
        <v>251</v>
      </c>
      <c r="L95" s="347">
        <f>H95*35.315</f>
        <v>48.028399999999998</v>
      </c>
      <c r="M95" s="348" t="s">
        <v>251</v>
      </c>
      <c r="N95" s="345"/>
      <c r="O95" s="349" t="s">
        <v>251</v>
      </c>
      <c r="P95" s="350">
        <f>1/H95</f>
        <v>0.73529411764705876</v>
      </c>
      <c r="Q95" s="351" t="s">
        <v>251</v>
      </c>
      <c r="R95" s="338"/>
    </row>
    <row r="96" spans="1:18" ht="15" customHeight="1">
      <c r="A96" s="338"/>
      <c r="B96" s="587" t="s">
        <v>336</v>
      </c>
      <c r="C96" s="587"/>
      <c r="D96" s="587"/>
      <c r="E96" s="588"/>
      <c r="F96" s="341"/>
      <c r="G96" s="343">
        <v>1.17</v>
      </c>
      <c r="H96" s="343" t="s">
        <v>248</v>
      </c>
      <c r="I96" s="344">
        <v>1.56</v>
      </c>
      <c r="J96" s="396"/>
      <c r="K96" s="346">
        <f t="shared" si="1"/>
        <v>41.318549999999995</v>
      </c>
      <c r="L96" s="347" t="s">
        <v>248</v>
      </c>
      <c r="M96" s="348">
        <f t="shared" si="2"/>
        <v>55.0914</v>
      </c>
      <c r="N96" s="345"/>
      <c r="O96" s="349">
        <f t="shared" si="3"/>
        <v>0.85470085470085477</v>
      </c>
      <c r="P96" s="350" t="s">
        <v>248</v>
      </c>
      <c r="Q96" s="351">
        <f t="shared" si="4"/>
        <v>0.64102564102564097</v>
      </c>
      <c r="R96" s="338"/>
    </row>
    <row r="97" spans="1:18" ht="15" customHeight="1">
      <c r="A97" s="338"/>
      <c r="B97" s="587" t="s">
        <v>337</v>
      </c>
      <c r="C97" s="587"/>
      <c r="D97" s="587"/>
      <c r="E97" s="588"/>
      <c r="F97" s="341"/>
      <c r="G97" s="343"/>
      <c r="H97" s="343">
        <v>1.37</v>
      </c>
      <c r="I97" s="344"/>
      <c r="J97" s="396"/>
      <c r="K97" s="346" t="s">
        <v>251</v>
      </c>
      <c r="L97" s="347">
        <f>H97*35.315</f>
        <v>48.381549999999997</v>
      </c>
      <c r="M97" s="348" t="s">
        <v>251</v>
      </c>
      <c r="N97" s="345"/>
      <c r="O97" s="349" t="s">
        <v>251</v>
      </c>
      <c r="P97" s="350">
        <f>1/H97</f>
        <v>0.72992700729927007</v>
      </c>
      <c r="Q97" s="351" t="s">
        <v>251</v>
      </c>
      <c r="R97" s="338"/>
    </row>
    <row r="98" spans="1:18" ht="15" customHeight="1">
      <c r="A98" s="338"/>
      <c r="B98" s="587" t="s">
        <v>338</v>
      </c>
      <c r="C98" s="587"/>
      <c r="D98" s="587"/>
      <c r="E98" s="588"/>
      <c r="F98" s="341"/>
      <c r="G98" s="343"/>
      <c r="H98" s="343">
        <v>0.61</v>
      </c>
      <c r="I98" s="344"/>
      <c r="J98" s="396"/>
      <c r="K98" s="346" t="s">
        <v>251</v>
      </c>
      <c r="L98" s="347">
        <f>H98*35.315</f>
        <v>21.542149999999999</v>
      </c>
      <c r="M98" s="348" t="s">
        <v>251</v>
      </c>
      <c r="N98" s="345"/>
      <c r="O98" s="349" t="s">
        <v>251</v>
      </c>
      <c r="P98" s="350">
        <f>1/H98</f>
        <v>1.639344262295082</v>
      </c>
      <c r="Q98" s="351" t="s">
        <v>251</v>
      </c>
      <c r="R98" s="338"/>
    </row>
    <row r="99" spans="1:18" ht="15" customHeight="1">
      <c r="A99" s="338"/>
      <c r="B99" s="587" t="s">
        <v>339</v>
      </c>
      <c r="C99" s="587"/>
      <c r="D99" s="587"/>
      <c r="E99" s="588"/>
      <c r="F99" s="341"/>
      <c r="G99" s="343"/>
      <c r="H99" s="343">
        <v>0.36</v>
      </c>
      <c r="I99" s="344"/>
      <c r="J99" s="396"/>
      <c r="K99" s="346" t="s">
        <v>251</v>
      </c>
      <c r="L99" s="347">
        <f>H99*35.315</f>
        <v>12.713399999999998</v>
      </c>
      <c r="M99" s="348" t="s">
        <v>251</v>
      </c>
      <c r="N99" s="345"/>
      <c r="O99" s="349" t="s">
        <v>251</v>
      </c>
      <c r="P99" s="350">
        <f>1/H99</f>
        <v>2.7777777777777777</v>
      </c>
      <c r="Q99" s="351" t="s">
        <v>251</v>
      </c>
      <c r="R99" s="338"/>
    </row>
    <row r="100" spans="1:18" ht="15" customHeight="1">
      <c r="A100" s="338"/>
      <c r="B100" s="72"/>
      <c r="C100" s="72"/>
      <c r="D100" s="72"/>
      <c r="E100" s="72"/>
      <c r="F100" s="72"/>
      <c r="G100" s="397"/>
      <c r="H100" s="397"/>
      <c r="I100" s="397"/>
      <c r="J100" s="398"/>
      <c r="K100" s="399"/>
      <c r="L100" s="399"/>
      <c r="M100" s="399"/>
      <c r="N100" s="400"/>
      <c r="O100" s="401"/>
      <c r="P100" s="401"/>
      <c r="Q100" s="401"/>
      <c r="R100" s="338"/>
    </row>
    <row r="101" spans="1:18" ht="15" customHeight="1">
      <c r="A101" s="338"/>
      <c r="G101" s="400"/>
      <c r="H101" s="400"/>
      <c r="I101" s="400"/>
      <c r="J101" s="400"/>
      <c r="K101" s="400"/>
      <c r="L101" s="400"/>
      <c r="M101" s="400"/>
      <c r="N101" s="400"/>
      <c r="O101" s="400"/>
      <c r="P101" s="400"/>
      <c r="Q101" s="400"/>
      <c r="R101" s="338"/>
    </row>
    <row r="102" spans="1:18" ht="15" customHeight="1">
      <c r="A102" s="338"/>
      <c r="B102" s="592" t="s">
        <v>340</v>
      </c>
      <c r="C102" s="592"/>
      <c r="D102" s="592"/>
      <c r="E102" s="592"/>
      <c r="F102" s="592"/>
      <c r="G102" s="592"/>
      <c r="H102" s="592"/>
      <c r="I102" s="592"/>
      <c r="J102" s="592"/>
      <c r="K102" s="592"/>
      <c r="L102" s="592"/>
      <c r="M102" s="592"/>
      <c r="N102" s="592"/>
      <c r="O102" s="592"/>
      <c r="P102" s="592"/>
      <c r="Q102" s="592"/>
      <c r="R102" s="338"/>
    </row>
    <row r="103" spans="1:18" ht="15" customHeight="1">
      <c r="A103" s="338"/>
      <c r="B103" s="400"/>
      <c r="C103" s="400"/>
      <c r="D103" s="400"/>
      <c r="E103" s="400"/>
      <c r="F103" s="400"/>
      <c r="G103" s="400"/>
      <c r="H103" s="400"/>
      <c r="I103" s="400"/>
      <c r="J103" s="400"/>
      <c r="K103" s="400"/>
      <c r="L103" s="400"/>
      <c r="M103" s="400"/>
      <c r="N103" s="400"/>
      <c r="O103" s="400"/>
      <c r="P103" s="400"/>
      <c r="Q103" s="400"/>
      <c r="R103" s="338"/>
    </row>
    <row r="104" spans="1:18" ht="15" customHeight="1">
      <c r="A104" s="338"/>
      <c r="G104" s="603" t="s">
        <v>341</v>
      </c>
      <c r="H104" s="599"/>
      <c r="I104" s="600"/>
      <c r="J104" s="395"/>
      <c r="K104" s="603" t="s">
        <v>342</v>
      </c>
      <c r="L104" s="599"/>
      <c r="M104" s="600"/>
      <c r="N104" s="395"/>
      <c r="O104" s="604" t="s">
        <v>343</v>
      </c>
      <c r="P104" s="605"/>
      <c r="Q104" s="606"/>
      <c r="R104" s="338"/>
    </row>
    <row r="105" spans="1:18" ht="15" customHeight="1">
      <c r="A105" s="338"/>
      <c r="B105" s="402" t="s">
        <v>344</v>
      </c>
      <c r="C105" s="403"/>
      <c r="D105" s="404"/>
      <c r="E105" s="404"/>
      <c r="F105" s="405"/>
      <c r="G105" s="615">
        <v>54</v>
      </c>
      <c r="H105" s="616"/>
      <c r="I105" s="617"/>
      <c r="K105" s="618">
        <f t="shared" ref="K105:K113" si="5">G105/35.866</f>
        <v>1.5056041933864941</v>
      </c>
      <c r="L105" s="619"/>
      <c r="M105" s="620"/>
      <c r="O105" s="618">
        <f t="shared" ref="O105:O113" si="6">1/K105</f>
        <v>0.66418518518518521</v>
      </c>
      <c r="P105" s="619"/>
      <c r="Q105" s="620"/>
      <c r="R105" s="338"/>
    </row>
    <row r="106" spans="1:18" ht="15" customHeight="1">
      <c r="A106" s="338"/>
      <c r="B106" s="402" t="s">
        <v>345</v>
      </c>
      <c r="C106" s="403"/>
      <c r="D106" s="404"/>
      <c r="E106" s="404"/>
      <c r="F106" s="405"/>
      <c r="G106" s="615">
        <v>50</v>
      </c>
      <c r="H106" s="616"/>
      <c r="I106" s="617"/>
      <c r="K106" s="618">
        <f t="shared" si="5"/>
        <v>1.3940779568393464</v>
      </c>
      <c r="L106" s="619"/>
      <c r="M106" s="620"/>
      <c r="O106" s="618">
        <f t="shared" si="6"/>
        <v>0.71731999999999996</v>
      </c>
      <c r="P106" s="619"/>
      <c r="Q106" s="620"/>
      <c r="R106" s="338"/>
    </row>
    <row r="107" spans="1:18" ht="15" customHeight="1">
      <c r="A107" s="338"/>
      <c r="B107" s="402" t="s">
        <v>346</v>
      </c>
      <c r="C107" s="403"/>
      <c r="D107" s="404"/>
      <c r="E107" s="404"/>
      <c r="F107" s="405"/>
      <c r="G107" s="615">
        <v>51</v>
      </c>
      <c r="H107" s="616"/>
      <c r="I107" s="617"/>
      <c r="K107" s="618">
        <f t="shared" si="5"/>
        <v>1.4219595159761333</v>
      </c>
      <c r="L107" s="619"/>
      <c r="M107" s="620"/>
      <c r="O107" s="618">
        <f t="shared" si="6"/>
        <v>0.70325490196078433</v>
      </c>
      <c r="P107" s="619"/>
      <c r="Q107" s="620"/>
      <c r="R107" s="338"/>
    </row>
    <row r="108" spans="1:18" ht="15" customHeight="1">
      <c r="A108" s="338"/>
      <c r="B108" s="402" t="s">
        <v>347</v>
      </c>
      <c r="C108" s="403"/>
      <c r="D108" s="404"/>
      <c r="E108" s="404"/>
      <c r="F108" s="405"/>
      <c r="G108" s="615">
        <v>88</v>
      </c>
      <c r="H108" s="616"/>
      <c r="I108" s="617"/>
      <c r="K108" s="618">
        <f t="shared" si="5"/>
        <v>2.4535772040372499</v>
      </c>
      <c r="L108" s="619"/>
      <c r="M108" s="620"/>
      <c r="O108" s="618">
        <f t="shared" si="6"/>
        <v>0.40756818181818177</v>
      </c>
      <c r="P108" s="619"/>
      <c r="Q108" s="620"/>
      <c r="R108" s="338"/>
    </row>
    <row r="109" spans="1:18" ht="15" customHeight="1">
      <c r="A109" s="338"/>
      <c r="B109" s="402" t="s">
        <v>348</v>
      </c>
      <c r="C109" s="403"/>
      <c r="D109" s="404"/>
      <c r="E109" s="404"/>
      <c r="F109" s="405"/>
      <c r="G109" s="615">
        <v>49</v>
      </c>
      <c r="H109" s="616"/>
      <c r="I109" s="617"/>
      <c r="K109" s="618">
        <f t="shared" si="5"/>
        <v>1.3661963977025595</v>
      </c>
      <c r="L109" s="619"/>
      <c r="M109" s="620"/>
      <c r="O109" s="618">
        <f t="shared" si="6"/>
        <v>0.73195918367346935</v>
      </c>
      <c r="P109" s="619"/>
      <c r="Q109" s="620"/>
      <c r="R109" s="338"/>
    </row>
    <row r="110" spans="1:18" ht="15" customHeight="1">
      <c r="A110" s="338"/>
      <c r="B110" s="402" t="s">
        <v>349</v>
      </c>
      <c r="C110" s="403"/>
      <c r="D110" s="404"/>
      <c r="E110" s="404"/>
      <c r="F110" s="405"/>
      <c r="G110" s="615">
        <v>66</v>
      </c>
      <c r="H110" s="616"/>
      <c r="I110" s="617"/>
      <c r="K110" s="618">
        <f t="shared" si="5"/>
        <v>1.8401829030279373</v>
      </c>
      <c r="L110" s="619"/>
      <c r="M110" s="620"/>
      <c r="O110" s="618">
        <f t="shared" si="6"/>
        <v>0.54342424242424248</v>
      </c>
      <c r="P110" s="619"/>
      <c r="Q110" s="620"/>
      <c r="R110" s="338"/>
    </row>
    <row r="111" spans="1:18" ht="15" customHeight="1">
      <c r="A111" s="338"/>
      <c r="B111" s="402" t="s">
        <v>349</v>
      </c>
      <c r="C111" s="403"/>
      <c r="D111" s="404"/>
      <c r="E111" s="404"/>
      <c r="F111" s="405"/>
      <c r="G111" s="615">
        <v>76</v>
      </c>
      <c r="H111" s="616"/>
      <c r="I111" s="617"/>
      <c r="K111" s="618">
        <f t="shared" si="5"/>
        <v>2.1189984943958065</v>
      </c>
      <c r="L111" s="619"/>
      <c r="M111" s="620"/>
      <c r="O111" s="618">
        <f t="shared" si="6"/>
        <v>0.47192105263157896</v>
      </c>
      <c r="P111" s="619"/>
      <c r="Q111" s="620"/>
      <c r="R111" s="338"/>
    </row>
    <row r="112" spans="1:18" ht="15" customHeight="1">
      <c r="A112" s="338"/>
      <c r="B112" s="402" t="s">
        <v>350</v>
      </c>
      <c r="C112" s="403"/>
      <c r="D112" s="404"/>
      <c r="E112" s="404"/>
      <c r="F112" s="405"/>
      <c r="G112" s="615">
        <v>47</v>
      </c>
      <c r="H112" s="616"/>
      <c r="I112" s="617"/>
      <c r="K112" s="618">
        <f t="shared" si="5"/>
        <v>1.3104332794289857</v>
      </c>
      <c r="L112" s="619"/>
      <c r="M112" s="620"/>
      <c r="O112" s="618">
        <f t="shared" si="6"/>
        <v>0.76310638297872335</v>
      </c>
      <c r="P112" s="619"/>
      <c r="Q112" s="620"/>
      <c r="R112" s="338"/>
    </row>
    <row r="113" spans="1:18" ht="15" customHeight="1">
      <c r="A113" s="338"/>
      <c r="B113" s="402" t="s">
        <v>351</v>
      </c>
      <c r="C113" s="403"/>
      <c r="D113" s="404"/>
      <c r="E113" s="404"/>
      <c r="F113" s="405"/>
      <c r="G113" s="615">
        <v>44</v>
      </c>
      <c r="H113" s="616"/>
      <c r="I113" s="617"/>
      <c r="K113" s="618">
        <f t="shared" si="5"/>
        <v>1.2267886020186249</v>
      </c>
      <c r="L113" s="619"/>
      <c r="M113" s="620"/>
      <c r="O113" s="618">
        <f t="shared" si="6"/>
        <v>0.81513636363636355</v>
      </c>
      <c r="P113" s="619"/>
      <c r="Q113" s="620"/>
      <c r="R113" s="338"/>
    </row>
    <row r="114" spans="1:18" ht="15" customHeight="1">
      <c r="A114" s="338"/>
      <c r="B114" s="391"/>
      <c r="C114" s="391"/>
      <c r="J114" s="406"/>
      <c r="K114" s="406"/>
      <c r="L114" s="406"/>
      <c r="M114" s="339" t="s">
        <v>251</v>
      </c>
      <c r="R114" s="338"/>
    </row>
    <row r="115" spans="1:18" ht="15" customHeight="1">
      <c r="A115" s="338"/>
      <c r="B115" s="391" t="s">
        <v>351</v>
      </c>
      <c r="C115" s="391"/>
      <c r="J115" s="406"/>
      <c r="K115" s="406"/>
      <c r="L115" s="406"/>
      <c r="R115" s="338"/>
    </row>
    <row r="116" spans="1:18" ht="15" customHeight="1">
      <c r="A116" s="338"/>
      <c r="B116" s="402" t="s">
        <v>352</v>
      </c>
      <c r="C116" s="403"/>
      <c r="D116" s="404"/>
      <c r="E116" s="404"/>
      <c r="F116" s="405"/>
      <c r="G116" s="615" t="s">
        <v>353</v>
      </c>
      <c r="H116" s="616"/>
      <c r="I116" s="617"/>
      <c r="K116" s="615" t="s">
        <v>354</v>
      </c>
      <c r="L116" s="616"/>
      <c r="M116" s="617"/>
      <c r="R116" s="338"/>
    </row>
    <row r="117" spans="1:18" ht="15" customHeight="1">
      <c r="A117" s="338"/>
      <c r="B117" s="402" t="s">
        <v>355</v>
      </c>
      <c r="C117" s="403"/>
      <c r="D117" s="404"/>
      <c r="E117" s="404"/>
      <c r="F117" s="405"/>
      <c r="G117" s="615" t="s">
        <v>356</v>
      </c>
      <c r="H117" s="616"/>
      <c r="I117" s="617"/>
      <c r="K117" s="615" t="s">
        <v>357</v>
      </c>
      <c r="L117" s="616"/>
      <c r="M117" s="617"/>
      <c r="R117" s="338"/>
    </row>
    <row r="118" spans="1:18" ht="15" customHeight="1">
      <c r="A118" s="338"/>
      <c r="B118" s="402" t="s">
        <v>358</v>
      </c>
      <c r="C118" s="403"/>
      <c r="D118" s="404"/>
      <c r="E118" s="404"/>
      <c r="F118" s="405"/>
      <c r="G118" s="615" t="s">
        <v>359</v>
      </c>
      <c r="H118" s="616"/>
      <c r="I118" s="617"/>
      <c r="K118" s="615" t="s">
        <v>360</v>
      </c>
      <c r="L118" s="616"/>
      <c r="M118" s="617"/>
      <c r="R118" s="338"/>
    </row>
    <row r="119" spans="1:18" ht="15" customHeight="1">
      <c r="A119" s="338"/>
      <c r="B119" s="402" t="s">
        <v>361</v>
      </c>
      <c r="C119" s="403"/>
      <c r="D119" s="404"/>
      <c r="E119" s="404"/>
      <c r="F119" s="405"/>
      <c r="G119" s="615" t="s">
        <v>362</v>
      </c>
      <c r="H119" s="616"/>
      <c r="I119" s="617"/>
      <c r="K119" s="615" t="s">
        <v>363</v>
      </c>
      <c r="L119" s="616"/>
      <c r="M119" s="617"/>
      <c r="R119" s="338"/>
    </row>
    <row r="120" spans="1:18" ht="15" customHeight="1">
      <c r="A120" s="338"/>
      <c r="B120" s="402" t="s">
        <v>364</v>
      </c>
      <c r="C120" s="403"/>
      <c r="D120" s="404"/>
      <c r="E120" s="404"/>
      <c r="F120" s="405"/>
      <c r="G120" s="615" t="s">
        <v>365</v>
      </c>
      <c r="H120" s="616"/>
      <c r="I120" s="617"/>
      <c r="K120" s="615" t="s">
        <v>366</v>
      </c>
      <c r="L120" s="616"/>
      <c r="M120" s="617"/>
      <c r="R120" s="338"/>
    </row>
    <row r="121" spans="1:18" ht="15" customHeight="1">
      <c r="A121" s="338"/>
      <c r="B121" s="402" t="s">
        <v>367</v>
      </c>
      <c r="C121" s="403"/>
      <c r="D121" s="404"/>
      <c r="E121" s="404"/>
      <c r="F121" s="405"/>
      <c r="G121" s="615" t="s">
        <v>368</v>
      </c>
      <c r="H121" s="616"/>
      <c r="I121" s="617"/>
      <c r="K121" s="615" t="s">
        <v>369</v>
      </c>
      <c r="L121" s="616"/>
      <c r="M121" s="617"/>
      <c r="R121" s="338"/>
    </row>
    <row r="122" spans="1:18" ht="15" customHeight="1">
      <c r="A122" s="338"/>
      <c r="B122" s="402" t="s">
        <v>370</v>
      </c>
      <c r="C122" s="403"/>
      <c r="D122" s="404"/>
      <c r="E122" s="404"/>
      <c r="F122" s="405"/>
      <c r="G122" s="615" t="s">
        <v>371</v>
      </c>
      <c r="H122" s="616"/>
      <c r="I122" s="617"/>
      <c r="K122" s="615" t="s">
        <v>372</v>
      </c>
      <c r="L122" s="616"/>
      <c r="M122" s="617"/>
      <c r="R122" s="338"/>
    </row>
    <row r="123" spans="1:18" ht="15" customHeight="1">
      <c r="A123" s="338"/>
      <c r="B123" s="402" t="s">
        <v>373</v>
      </c>
      <c r="C123" s="403"/>
      <c r="D123" s="404"/>
      <c r="E123" s="404"/>
      <c r="F123" s="405"/>
      <c r="G123" s="615" t="s">
        <v>374</v>
      </c>
      <c r="H123" s="616"/>
      <c r="I123" s="617"/>
      <c r="K123" s="615" t="s">
        <v>375</v>
      </c>
      <c r="L123" s="616"/>
      <c r="M123" s="617"/>
      <c r="R123" s="338"/>
    </row>
    <row r="124" spans="1:18">
      <c r="A124" s="338"/>
      <c r="B124" s="338"/>
      <c r="C124" s="338"/>
      <c r="D124" s="338"/>
      <c r="E124" s="338"/>
      <c r="F124" s="338"/>
      <c r="G124" s="338"/>
      <c r="H124" s="338"/>
      <c r="I124" s="338"/>
      <c r="J124" s="338"/>
      <c r="K124" s="338"/>
      <c r="L124" s="338"/>
      <c r="M124" s="338"/>
      <c r="N124" s="338"/>
      <c r="O124" s="338"/>
      <c r="P124" s="338"/>
      <c r="Q124" s="338"/>
      <c r="R124" s="338"/>
    </row>
  </sheetData>
  <sheetProtection sheet="1" objects="1" scenarios="1"/>
  <mergeCells count="163">
    <mergeCell ref="G15:G16"/>
    <mergeCell ref="H15:H16"/>
    <mergeCell ref="I15:I16"/>
    <mergeCell ref="K15:K16"/>
    <mergeCell ref="L15:L16"/>
    <mergeCell ref="M15:M16"/>
    <mergeCell ref="O15:O16"/>
    <mergeCell ref="P15:P16"/>
    <mergeCell ref="Q15:Q16"/>
    <mergeCell ref="U4:W5"/>
    <mergeCell ref="U10:V10"/>
    <mergeCell ref="U11:V11"/>
    <mergeCell ref="U14:V14"/>
    <mergeCell ref="V6:W6"/>
    <mergeCell ref="U12:W12"/>
    <mergeCell ref="U7:W7"/>
    <mergeCell ref="U8:V8"/>
    <mergeCell ref="U9:V9"/>
    <mergeCell ref="U13:V13"/>
    <mergeCell ref="G122:I122"/>
    <mergeCell ref="K122:M122"/>
    <mergeCell ref="G123:I123"/>
    <mergeCell ref="K123:M123"/>
    <mergeCell ref="G119:I119"/>
    <mergeCell ref="K119:M119"/>
    <mergeCell ref="G120:I120"/>
    <mergeCell ref="K120:M120"/>
    <mergeCell ref="G121:I121"/>
    <mergeCell ref="K121:M121"/>
    <mergeCell ref="G116:I116"/>
    <mergeCell ref="K116:M116"/>
    <mergeCell ref="G117:I117"/>
    <mergeCell ref="K117:M117"/>
    <mergeCell ref="G118:I118"/>
    <mergeCell ref="K118:M118"/>
    <mergeCell ref="G112:I112"/>
    <mergeCell ref="K112:M112"/>
    <mergeCell ref="O112:Q112"/>
    <mergeCell ref="G113:I113"/>
    <mergeCell ref="K113:M113"/>
    <mergeCell ref="O113:Q113"/>
    <mergeCell ref="G110:I110"/>
    <mergeCell ref="K110:M110"/>
    <mergeCell ref="O110:Q110"/>
    <mergeCell ref="G111:I111"/>
    <mergeCell ref="K111:M111"/>
    <mergeCell ref="O111:Q111"/>
    <mergeCell ref="G108:I108"/>
    <mergeCell ref="K108:M108"/>
    <mergeCell ref="O108:Q108"/>
    <mergeCell ref="G109:I109"/>
    <mergeCell ref="K109:M109"/>
    <mergeCell ref="O109:Q109"/>
    <mergeCell ref="G106:I106"/>
    <mergeCell ref="K106:M106"/>
    <mergeCell ref="O106:Q106"/>
    <mergeCell ref="G107:I107"/>
    <mergeCell ref="K107:M107"/>
    <mergeCell ref="O107:Q107"/>
    <mergeCell ref="B99:E99"/>
    <mergeCell ref="B102:Q102"/>
    <mergeCell ref="G104:I104"/>
    <mergeCell ref="K104:M104"/>
    <mergeCell ref="O104:Q104"/>
    <mergeCell ref="G105:I105"/>
    <mergeCell ref="K105:M105"/>
    <mergeCell ref="O105:Q105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91:E91"/>
    <mergeCell ref="B92:E92"/>
    <mergeCell ref="B84:E84"/>
    <mergeCell ref="B85:E85"/>
    <mergeCell ref="G85:I85"/>
    <mergeCell ref="K85:M85"/>
    <mergeCell ref="O85:Q85"/>
    <mergeCell ref="B86:E86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K67:M67"/>
    <mergeCell ref="O67:Q67"/>
    <mergeCell ref="B68:E68"/>
    <mergeCell ref="B69:E69"/>
    <mergeCell ref="B70:E70"/>
    <mergeCell ref="B71:E71"/>
    <mergeCell ref="B59:E59"/>
    <mergeCell ref="B60:E60"/>
    <mergeCell ref="B61:E61"/>
    <mergeCell ref="B62:E62"/>
    <mergeCell ref="B63:E63"/>
    <mergeCell ref="G67:I67"/>
    <mergeCell ref="B51:E51"/>
    <mergeCell ref="B52:E52"/>
    <mergeCell ref="B55:E55"/>
    <mergeCell ref="B56:E56"/>
    <mergeCell ref="B57:E57"/>
    <mergeCell ref="B58:E58"/>
    <mergeCell ref="B45:E45"/>
    <mergeCell ref="B46:E46"/>
    <mergeCell ref="B47:E47"/>
    <mergeCell ref="B48:E48"/>
    <mergeCell ref="B49:E49"/>
    <mergeCell ref="B50:E50"/>
    <mergeCell ref="B39:E39"/>
    <mergeCell ref="B40:E40"/>
    <mergeCell ref="B41:E41"/>
    <mergeCell ref="B42:E42"/>
    <mergeCell ref="B43:E43"/>
    <mergeCell ref="B44:E44"/>
    <mergeCell ref="B33:E33"/>
    <mergeCell ref="B34:E34"/>
    <mergeCell ref="B35:E35"/>
    <mergeCell ref="B36:E36"/>
    <mergeCell ref="B37:E37"/>
    <mergeCell ref="B38:E38"/>
    <mergeCell ref="B27:E27"/>
    <mergeCell ref="B28:E28"/>
    <mergeCell ref="B29:E29"/>
    <mergeCell ref="B30:E30"/>
    <mergeCell ref="B31:E31"/>
    <mergeCell ref="B32:E32"/>
    <mergeCell ref="B21:E21"/>
    <mergeCell ref="B22:E22"/>
    <mergeCell ref="B23:E23"/>
    <mergeCell ref="B24:E24"/>
    <mergeCell ref="B25:E25"/>
    <mergeCell ref="B26:E26"/>
    <mergeCell ref="B14:E14"/>
    <mergeCell ref="B17:E17"/>
    <mergeCell ref="B18:E18"/>
    <mergeCell ref="B19:E19"/>
    <mergeCell ref="B20:E20"/>
    <mergeCell ref="B15:E16"/>
    <mergeCell ref="B8:E8"/>
    <mergeCell ref="B9:E9"/>
    <mergeCell ref="B10:E10"/>
    <mergeCell ref="B11:E11"/>
    <mergeCell ref="B12:E12"/>
    <mergeCell ref="B13:E13"/>
    <mergeCell ref="B3:Q3"/>
    <mergeCell ref="G5:I5"/>
    <mergeCell ref="K5:M5"/>
    <mergeCell ref="O5:Q5"/>
    <mergeCell ref="B6:E6"/>
    <mergeCell ref="B7:E7"/>
  </mergeCells>
  <dataValidations count="1">
    <dataValidation type="list" allowBlank="1" showInputMessage="1" showErrorMessage="1" sqref="V6:W6" xr:uid="{00000000-0002-0000-0300-000000000000}">
      <formula1>"ft3 / LT (S.F.),ft3 / MT,m3 / MT,m3 / LT,MT / m3 (S.G.),LT / m3"</formula1>
    </dataValidation>
  </dataValidations>
  <printOptions horizontalCentered="1"/>
  <pageMargins left="0.59055118110236227" right="0.19685039370078741" top="0.19685039370078741" bottom="0.19685039370078741" header="0" footer="0"/>
  <pageSetup scale="8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2:M97"/>
  <sheetViews>
    <sheetView showGridLines="0" showRowColHeaders="0" workbookViewId="0">
      <selection activeCell="C12" sqref="C12:D12"/>
    </sheetView>
  </sheetViews>
  <sheetFormatPr defaultColWidth="14.42578125" defaultRowHeight="15" customHeight="1"/>
  <cols>
    <col min="1" max="1" width="6" style="55" customWidth="1"/>
    <col min="2" max="2" width="21.85546875" style="55" customWidth="1"/>
    <col min="3" max="6" width="9.28515625" style="55" customWidth="1"/>
    <col min="7" max="7" width="4.5703125" style="55" customWidth="1"/>
    <col min="8" max="8" width="14.42578125" style="55"/>
    <col min="9" max="10" width="19" style="55" customWidth="1"/>
    <col min="11" max="16384" width="14.42578125" style="55"/>
  </cols>
  <sheetData>
    <row r="2" spans="2:13" ht="15.75" customHeight="1">
      <c r="B2" s="53"/>
      <c r="C2" s="636" t="s">
        <v>30</v>
      </c>
      <c r="D2" s="637"/>
      <c r="E2" s="636" t="s">
        <v>91</v>
      </c>
      <c r="F2" s="637"/>
      <c r="G2" s="54"/>
    </row>
    <row r="3" spans="2:13" ht="15.75" customHeight="1">
      <c r="B3" s="56" t="s">
        <v>31</v>
      </c>
      <c r="C3" s="645">
        <v>10</v>
      </c>
      <c r="D3" s="646"/>
      <c r="E3" s="645">
        <v>13.1</v>
      </c>
      <c r="F3" s="646"/>
      <c r="G3" s="54"/>
      <c r="L3" s="62"/>
      <c r="M3" s="62"/>
    </row>
    <row r="4" spans="2:13" ht="15.75" customHeight="1">
      <c r="B4" s="56" t="s">
        <v>83</v>
      </c>
      <c r="C4" s="645">
        <v>20</v>
      </c>
      <c r="D4" s="646"/>
      <c r="E4" s="645">
        <v>11.2</v>
      </c>
      <c r="F4" s="646"/>
      <c r="G4" s="54"/>
      <c r="L4" s="169"/>
      <c r="M4" s="62"/>
    </row>
    <row r="5" spans="2:13" ht="15.75" customHeight="1">
      <c r="B5" s="647" t="s">
        <v>82</v>
      </c>
      <c r="C5" s="655" t="str">
        <f>VLOOKUP(C6,CAL!B1:C17,2)</f>
        <v>SE</v>
      </c>
      <c r="D5" s="656"/>
      <c r="E5" s="640">
        <f>SQRT((COS(C3/57.3)*E3-COS((C3+C4)/57.3)*E4)^2+(SIN(C3/57.3)*E3-SIN((C3+C4)/57.3)*E4)^2)</f>
        <v>4.6156274819453316</v>
      </c>
      <c r="F5" s="652"/>
      <c r="G5" s="54"/>
      <c r="H5" s="56" t="s">
        <v>84</v>
      </c>
      <c r="I5" s="650" t="str">
        <f>VLOOKUP(E7,CAL!E1:G13,2)</f>
        <v>LIGHT BREEZE</v>
      </c>
      <c r="J5" s="651"/>
      <c r="L5" s="169"/>
      <c r="M5" s="62"/>
    </row>
    <row r="6" spans="2:13" ht="15.75" customHeight="1">
      <c r="B6" s="648"/>
      <c r="C6" s="638">
        <f>CAL!H18</f>
        <v>134</v>
      </c>
      <c r="D6" s="639"/>
      <c r="E6" s="653">
        <f>E5*1852/3600</f>
        <v>2.3744839157118762</v>
      </c>
      <c r="F6" s="654"/>
      <c r="G6" s="54"/>
      <c r="H6" s="56" t="s">
        <v>85</v>
      </c>
      <c r="I6" s="650" t="str">
        <f>VLOOKUP(Wind!E7,CAL!G2:H11,2)</f>
        <v>SMOOTH SEA</v>
      </c>
      <c r="J6" s="651"/>
    </row>
    <row r="7" spans="2:13" ht="15.75" customHeight="1">
      <c r="B7" s="649"/>
      <c r="C7" s="636" t="s">
        <v>27</v>
      </c>
      <c r="D7" s="637"/>
      <c r="E7" s="642">
        <f>VLOOKUP(Wind!E6,CAL!D1:E13,2)</f>
        <v>2</v>
      </c>
      <c r="F7" s="641"/>
      <c r="H7" s="56" t="s">
        <v>86</v>
      </c>
      <c r="I7" s="650" t="str">
        <f>VLOOKUP(Wind!E7,CAL!G2:I11,3)</f>
        <v>LOW SWEEL LONG LENGTH</v>
      </c>
      <c r="J7" s="651"/>
    </row>
    <row r="8" spans="2:13" ht="6.75" customHeight="1">
      <c r="B8" s="57"/>
      <c r="C8" s="58"/>
      <c r="D8" s="58"/>
      <c r="E8" s="58"/>
      <c r="F8" s="58"/>
      <c r="G8" s="54"/>
    </row>
    <row r="9" spans="2:13" ht="18.75" customHeight="1">
      <c r="B9" s="643" t="s">
        <v>87</v>
      </c>
      <c r="C9" s="643"/>
      <c r="D9" s="643"/>
      <c r="E9" s="643"/>
      <c r="F9" s="643"/>
      <c r="G9" s="54"/>
    </row>
    <row r="10" spans="2:13" ht="6.75" customHeight="1">
      <c r="B10" s="59"/>
      <c r="C10" s="60"/>
      <c r="D10" s="60"/>
      <c r="E10" s="60"/>
      <c r="F10" s="60"/>
      <c r="G10" s="54"/>
    </row>
    <row r="11" spans="2:13" ht="15.75">
      <c r="B11" s="53"/>
      <c r="C11" s="636" t="s">
        <v>30</v>
      </c>
      <c r="D11" s="637"/>
      <c r="E11" s="636" t="s">
        <v>91</v>
      </c>
      <c r="F11" s="637"/>
      <c r="G11" s="61"/>
    </row>
    <row r="12" spans="2:13" ht="15.75">
      <c r="B12" s="56" t="s">
        <v>31</v>
      </c>
      <c r="C12" s="644">
        <f>C3</f>
        <v>10</v>
      </c>
      <c r="D12" s="637"/>
      <c r="E12" s="644">
        <f>E3</f>
        <v>13.1</v>
      </c>
      <c r="F12" s="637"/>
      <c r="H12" s="62"/>
      <c r="I12" s="62"/>
      <c r="J12" s="62"/>
    </row>
    <row r="13" spans="2:13" ht="15.75">
      <c r="B13" s="56" t="s">
        <v>89</v>
      </c>
      <c r="C13" s="645">
        <v>207</v>
      </c>
      <c r="D13" s="646"/>
      <c r="E13" s="645">
        <v>11.2</v>
      </c>
      <c r="F13" s="646"/>
      <c r="G13" s="61"/>
      <c r="H13" s="62"/>
      <c r="I13" s="62"/>
      <c r="J13" s="62"/>
    </row>
    <row r="14" spans="2:13" ht="15.75">
      <c r="B14" s="56" t="s">
        <v>82</v>
      </c>
      <c r="C14" s="638">
        <f>CAL!G18</f>
        <v>216</v>
      </c>
      <c r="D14" s="639"/>
      <c r="E14" s="640">
        <f>SQRT((COS(C12/57.3)*E12-COS(C13/57.3)*E13)^2+(SIN(C12/57.3)*E12-SIN(C13/57.3)*E13)^2)</f>
        <v>24.035178091952019</v>
      </c>
      <c r="F14" s="641"/>
      <c r="G14" s="61"/>
      <c r="H14" s="62"/>
      <c r="I14" s="62"/>
      <c r="J14" s="62"/>
    </row>
    <row r="15" spans="2:13" ht="6.75" customHeight="1">
      <c r="B15" s="54"/>
      <c r="C15" s="54"/>
      <c r="D15" s="54"/>
      <c r="E15" s="54"/>
      <c r="F15" s="54"/>
      <c r="H15" s="62"/>
      <c r="I15" s="62"/>
      <c r="J15" s="62"/>
    </row>
    <row r="16" spans="2:13" ht="18.75" customHeight="1">
      <c r="B16" s="643" t="s">
        <v>88</v>
      </c>
      <c r="C16" s="643"/>
      <c r="D16" s="643"/>
      <c r="E16" s="643"/>
      <c r="F16" s="643"/>
      <c r="H16" s="62"/>
      <c r="I16" s="62"/>
      <c r="J16" s="62"/>
    </row>
    <row r="17" spans="2:10" ht="6.75" customHeight="1">
      <c r="B17" s="54"/>
      <c r="C17" s="54"/>
      <c r="D17" s="54"/>
      <c r="E17" s="54"/>
      <c r="F17" s="54"/>
      <c r="H17" s="62"/>
      <c r="I17" s="62"/>
      <c r="J17" s="62"/>
    </row>
    <row r="18" spans="2:10" ht="15.75" customHeight="1">
      <c r="B18" s="53"/>
      <c r="C18" s="636" t="s">
        <v>30</v>
      </c>
      <c r="D18" s="637"/>
      <c r="E18" s="636" t="s">
        <v>91</v>
      </c>
      <c r="F18" s="637"/>
      <c r="H18" s="62"/>
      <c r="I18" s="62"/>
      <c r="J18" s="62"/>
    </row>
    <row r="19" spans="2:10" ht="15.75" customHeight="1">
      <c r="B19" s="56" t="s">
        <v>31</v>
      </c>
      <c r="C19" s="644">
        <f>C3</f>
        <v>10</v>
      </c>
      <c r="D19" s="637"/>
      <c r="E19" s="644">
        <f>E3</f>
        <v>13.1</v>
      </c>
      <c r="F19" s="637"/>
      <c r="G19" s="54"/>
      <c r="H19" s="62"/>
      <c r="I19" s="62"/>
      <c r="J19" s="62"/>
    </row>
    <row r="20" spans="2:10" ht="15.75" customHeight="1">
      <c r="B20" s="56" t="s">
        <v>90</v>
      </c>
      <c r="C20" s="645">
        <v>341</v>
      </c>
      <c r="D20" s="646"/>
      <c r="E20" s="645">
        <v>3</v>
      </c>
      <c r="F20" s="646"/>
      <c r="G20" s="54"/>
      <c r="H20" s="63"/>
    </row>
    <row r="21" spans="2:10" ht="15.75" customHeight="1">
      <c r="B21" s="56" t="s">
        <v>81</v>
      </c>
      <c r="C21" s="638">
        <f>CAL!F18</f>
        <v>317</v>
      </c>
      <c r="D21" s="639"/>
      <c r="E21" s="640">
        <f>SQRT((COS(C19/57.3)*E19+COS(C20/57.3)*E20)^2+(SIN(C19/57.3)*E19+SIN(C20/57.3)*E20)^2)</f>
        <v>15.790468268134873</v>
      </c>
      <c r="F21" s="641"/>
      <c r="G21" s="54"/>
    </row>
    <row r="22" spans="2:10" ht="15.75" customHeight="1">
      <c r="B22" s="54"/>
      <c r="C22" s="168"/>
      <c r="D22" s="168"/>
      <c r="E22" s="54"/>
      <c r="F22" s="54"/>
      <c r="G22" s="54"/>
    </row>
    <row r="23" spans="2:10" ht="15.75" customHeight="1">
      <c r="B23" s="54"/>
      <c r="G23" s="54"/>
    </row>
    <row r="24" spans="2:10" ht="15.75" customHeight="1">
      <c r="B24" s="54"/>
      <c r="G24" s="54"/>
    </row>
    <row r="25" spans="2:10" ht="15.75" customHeight="1">
      <c r="B25" s="54"/>
      <c r="G25" s="54"/>
    </row>
    <row r="26" spans="2:10" ht="15.75" customHeight="1">
      <c r="B26" s="54"/>
      <c r="C26" s="54"/>
      <c r="D26" s="54"/>
      <c r="E26" s="54"/>
      <c r="F26" s="54"/>
      <c r="G26" s="54"/>
    </row>
    <row r="27" spans="2:10" ht="15.75" customHeight="1">
      <c r="B27" s="54"/>
      <c r="C27" s="54"/>
      <c r="D27" s="54"/>
      <c r="E27" s="54"/>
      <c r="F27" s="54"/>
      <c r="G27" s="54"/>
    </row>
    <row r="28" spans="2:10" ht="15.75" customHeight="1">
      <c r="B28" s="54"/>
      <c r="C28" s="54"/>
      <c r="D28" s="54"/>
      <c r="E28" s="54"/>
      <c r="F28" s="54"/>
      <c r="G28" s="54"/>
    </row>
    <row r="29" spans="2:10" ht="15.75" customHeight="1">
      <c r="B29" s="54"/>
      <c r="C29" s="54"/>
      <c r="D29" s="54"/>
      <c r="E29" s="54"/>
      <c r="F29" s="54"/>
      <c r="G29" s="54"/>
    </row>
    <row r="30" spans="2:10" ht="15.75" customHeight="1">
      <c r="B30" s="54"/>
      <c r="C30" s="54"/>
      <c r="D30" s="54"/>
      <c r="E30" s="54"/>
      <c r="F30" s="54"/>
      <c r="G30" s="54"/>
    </row>
    <row r="31" spans="2:10" ht="15.75" customHeight="1">
      <c r="B31" s="54"/>
      <c r="C31" s="54"/>
      <c r="D31" s="54"/>
      <c r="E31" s="54"/>
      <c r="F31" s="54"/>
      <c r="G31" s="54"/>
    </row>
    <row r="32" spans="2:10" ht="15.75" customHeight="1">
      <c r="B32" s="54"/>
      <c r="C32" s="54"/>
      <c r="D32" s="54"/>
      <c r="E32" s="54"/>
      <c r="F32" s="54"/>
      <c r="G32" s="54"/>
    </row>
    <row r="33" spans="2:7" ht="15.75" customHeight="1">
      <c r="B33" s="54"/>
      <c r="C33" s="54"/>
      <c r="D33" s="54"/>
      <c r="E33" s="54"/>
      <c r="F33" s="54"/>
      <c r="G33" s="54"/>
    </row>
    <row r="34" spans="2:7" ht="15.75" customHeight="1">
      <c r="B34" s="54"/>
      <c r="C34" s="54"/>
      <c r="D34" s="54"/>
      <c r="E34" s="54"/>
      <c r="F34" s="54"/>
      <c r="G34" s="54"/>
    </row>
    <row r="35" spans="2:7" ht="15.75" customHeight="1">
      <c r="B35" s="54"/>
      <c r="C35" s="54"/>
      <c r="D35" s="54"/>
      <c r="E35" s="54"/>
      <c r="F35" s="54"/>
      <c r="G35" s="54"/>
    </row>
    <row r="36" spans="2:7" ht="15.75" customHeight="1">
      <c r="B36" s="54"/>
      <c r="C36" s="54"/>
      <c r="D36" s="54"/>
      <c r="E36" s="54"/>
      <c r="F36" s="54"/>
      <c r="G36" s="54"/>
    </row>
    <row r="37" spans="2:7" ht="15.75" customHeight="1">
      <c r="B37" s="54"/>
      <c r="C37" s="54"/>
      <c r="D37" s="54"/>
      <c r="E37" s="54"/>
      <c r="F37" s="54"/>
      <c r="G37" s="54"/>
    </row>
    <row r="38" spans="2:7" ht="15.75" customHeight="1">
      <c r="B38" s="54"/>
      <c r="C38" s="54"/>
      <c r="D38" s="54"/>
      <c r="E38" s="54"/>
      <c r="F38" s="54"/>
      <c r="G38" s="54"/>
    </row>
    <row r="39" spans="2:7" ht="15.75" customHeight="1">
      <c r="B39" s="54"/>
      <c r="C39" s="54"/>
      <c r="D39" s="54"/>
      <c r="E39" s="54"/>
      <c r="F39" s="54"/>
      <c r="G39" s="54"/>
    </row>
    <row r="40" spans="2:7" ht="15.75" customHeight="1">
      <c r="B40" s="54"/>
      <c r="C40" s="54"/>
      <c r="D40" s="54"/>
      <c r="E40" s="54"/>
      <c r="F40" s="54"/>
      <c r="G40" s="54"/>
    </row>
    <row r="41" spans="2:7" ht="15.75" customHeight="1">
      <c r="B41" s="54"/>
      <c r="C41" s="54"/>
      <c r="D41" s="54"/>
      <c r="E41" s="54"/>
      <c r="F41" s="54"/>
      <c r="G41" s="54"/>
    </row>
    <row r="42" spans="2:7" ht="15.75" customHeight="1">
      <c r="B42" s="54"/>
      <c r="C42" s="54"/>
      <c r="D42" s="54"/>
      <c r="E42" s="54"/>
      <c r="F42" s="54"/>
      <c r="G42" s="54"/>
    </row>
    <row r="43" spans="2:7" ht="15.75" customHeight="1">
      <c r="B43" s="54"/>
      <c r="C43" s="54"/>
      <c r="D43" s="54"/>
      <c r="E43" s="54"/>
      <c r="F43" s="54"/>
      <c r="G43" s="54"/>
    </row>
    <row r="44" spans="2:7" ht="15.75" customHeight="1">
      <c r="B44" s="54"/>
      <c r="C44" s="54"/>
      <c r="D44" s="54"/>
      <c r="E44" s="54"/>
      <c r="F44" s="54"/>
      <c r="G44" s="54"/>
    </row>
    <row r="45" spans="2:7" ht="15.75" customHeight="1">
      <c r="B45" s="54"/>
      <c r="C45" s="54"/>
      <c r="D45" s="54"/>
      <c r="E45" s="54"/>
      <c r="F45" s="54"/>
      <c r="G45" s="54"/>
    </row>
    <row r="46" spans="2:7" ht="15.75" customHeight="1">
      <c r="B46" s="54"/>
      <c r="C46" s="54"/>
      <c r="D46" s="54"/>
      <c r="E46" s="54"/>
      <c r="F46" s="54"/>
      <c r="G46" s="54"/>
    </row>
    <row r="47" spans="2:7" ht="15.75" customHeight="1">
      <c r="B47" s="54"/>
      <c r="C47" s="54"/>
      <c r="D47" s="54"/>
      <c r="E47" s="54"/>
      <c r="F47" s="54"/>
      <c r="G47" s="54"/>
    </row>
    <row r="48" spans="2:7" ht="15.75" customHeight="1">
      <c r="B48" s="54"/>
      <c r="C48" s="54"/>
      <c r="D48" s="54"/>
      <c r="E48" s="54"/>
      <c r="F48" s="54"/>
      <c r="G48" s="54"/>
    </row>
    <row r="49" spans="2:7" ht="15.75" customHeight="1">
      <c r="B49" s="54"/>
      <c r="C49" s="54"/>
      <c r="D49" s="54"/>
      <c r="E49" s="54"/>
      <c r="F49" s="54"/>
      <c r="G49" s="54"/>
    </row>
    <row r="50" spans="2:7" ht="15.75" customHeight="1">
      <c r="B50" s="54"/>
      <c r="C50" s="54"/>
      <c r="D50" s="54"/>
      <c r="E50" s="54"/>
      <c r="F50" s="54"/>
      <c r="G50" s="54"/>
    </row>
    <row r="51" spans="2:7" ht="15.75" customHeight="1">
      <c r="B51" s="54"/>
      <c r="C51" s="54"/>
      <c r="D51" s="54"/>
      <c r="E51" s="54"/>
      <c r="F51" s="54"/>
      <c r="G51" s="54"/>
    </row>
    <row r="52" spans="2:7" ht="15.75" customHeight="1">
      <c r="B52" s="54"/>
      <c r="C52" s="54"/>
      <c r="D52" s="54"/>
      <c r="E52" s="54"/>
      <c r="F52" s="54"/>
      <c r="G52" s="54"/>
    </row>
    <row r="53" spans="2:7" ht="15.75" customHeight="1">
      <c r="B53" s="54"/>
      <c r="C53" s="54"/>
      <c r="D53" s="54"/>
      <c r="E53" s="54"/>
      <c r="F53" s="54"/>
      <c r="G53" s="54"/>
    </row>
    <row r="54" spans="2:7" ht="15.75" customHeight="1">
      <c r="B54" s="54"/>
      <c r="C54" s="54"/>
      <c r="D54" s="54"/>
      <c r="E54" s="54"/>
      <c r="F54" s="54"/>
      <c r="G54" s="54"/>
    </row>
    <row r="55" spans="2:7" ht="15.75" customHeight="1">
      <c r="B55" s="54"/>
      <c r="C55" s="54"/>
      <c r="D55" s="54"/>
      <c r="E55" s="54"/>
      <c r="F55" s="54"/>
      <c r="G55" s="54"/>
    </row>
    <row r="56" spans="2:7" ht="15.75" customHeight="1">
      <c r="B56" s="54"/>
      <c r="C56" s="54"/>
      <c r="D56" s="54"/>
      <c r="E56" s="54"/>
      <c r="F56" s="54"/>
      <c r="G56" s="54"/>
    </row>
    <row r="57" spans="2:7" ht="15.75" customHeight="1">
      <c r="B57" s="54"/>
      <c r="C57" s="54"/>
      <c r="D57" s="54"/>
      <c r="E57" s="54"/>
      <c r="F57" s="54"/>
      <c r="G57" s="54"/>
    </row>
    <row r="58" spans="2:7" ht="15.75" customHeight="1">
      <c r="B58" s="54"/>
      <c r="C58" s="54"/>
      <c r="D58" s="54"/>
      <c r="E58" s="54"/>
      <c r="F58" s="54"/>
      <c r="G58" s="54"/>
    </row>
    <row r="59" spans="2:7" ht="15.75" customHeight="1">
      <c r="B59" s="54"/>
      <c r="C59" s="54"/>
      <c r="D59" s="54"/>
      <c r="E59" s="54"/>
      <c r="F59" s="54"/>
      <c r="G59" s="54"/>
    </row>
    <row r="60" spans="2:7" ht="15.75" customHeight="1">
      <c r="B60" s="54"/>
      <c r="C60" s="54"/>
      <c r="D60" s="54"/>
      <c r="E60" s="54"/>
      <c r="F60" s="54"/>
      <c r="G60" s="54"/>
    </row>
    <row r="61" spans="2:7" ht="15.75" customHeight="1">
      <c r="B61" s="54"/>
      <c r="C61" s="54"/>
      <c r="D61" s="54"/>
      <c r="E61" s="54"/>
      <c r="F61" s="54"/>
      <c r="G61" s="54"/>
    </row>
    <row r="62" spans="2:7" ht="15.75" customHeight="1">
      <c r="B62" s="54"/>
      <c r="C62" s="54"/>
      <c r="D62" s="54"/>
      <c r="E62" s="54"/>
      <c r="F62" s="54"/>
      <c r="G62" s="54"/>
    </row>
    <row r="63" spans="2:7" ht="15.75" customHeight="1">
      <c r="B63" s="54"/>
      <c r="C63" s="54"/>
      <c r="D63" s="54"/>
      <c r="E63" s="54"/>
      <c r="F63" s="54"/>
      <c r="G63" s="54"/>
    </row>
    <row r="64" spans="2:7" ht="15.75" customHeight="1">
      <c r="B64" s="54"/>
      <c r="C64" s="54"/>
      <c r="D64" s="54"/>
      <c r="E64" s="54"/>
      <c r="F64" s="54"/>
      <c r="G64" s="54"/>
    </row>
    <row r="65" spans="2:7" ht="15.75" customHeight="1">
      <c r="B65" s="54"/>
      <c r="C65" s="54"/>
      <c r="D65" s="54"/>
      <c r="E65" s="54"/>
      <c r="F65" s="54"/>
      <c r="G65" s="54"/>
    </row>
    <row r="66" spans="2:7" ht="15.75" customHeight="1">
      <c r="B66" s="54"/>
      <c r="C66" s="54"/>
      <c r="D66" s="54"/>
      <c r="E66" s="54"/>
      <c r="F66" s="54"/>
      <c r="G66" s="54"/>
    </row>
    <row r="67" spans="2:7" ht="15.75" customHeight="1">
      <c r="B67" s="54"/>
      <c r="C67" s="54"/>
      <c r="D67" s="54"/>
      <c r="E67" s="54"/>
      <c r="F67" s="54"/>
      <c r="G67" s="54"/>
    </row>
    <row r="68" spans="2:7" ht="15.75" customHeight="1">
      <c r="B68" s="54"/>
      <c r="C68" s="54"/>
      <c r="D68" s="54"/>
      <c r="E68" s="54"/>
      <c r="F68" s="54"/>
      <c r="G68" s="54"/>
    </row>
    <row r="69" spans="2:7" ht="15.75" customHeight="1">
      <c r="B69" s="54"/>
      <c r="C69" s="54"/>
      <c r="D69" s="54"/>
      <c r="E69" s="54"/>
      <c r="F69" s="54"/>
      <c r="G69" s="54"/>
    </row>
    <row r="70" spans="2:7" ht="15.75" customHeight="1">
      <c r="B70" s="54"/>
      <c r="C70" s="54"/>
      <c r="D70" s="54"/>
      <c r="E70" s="54"/>
      <c r="F70" s="54"/>
      <c r="G70" s="54"/>
    </row>
    <row r="71" spans="2:7" ht="15.75" customHeight="1">
      <c r="B71" s="54"/>
      <c r="C71" s="54"/>
      <c r="D71" s="54"/>
      <c r="E71" s="54"/>
      <c r="F71" s="54"/>
      <c r="G71" s="54"/>
    </row>
    <row r="72" spans="2:7" ht="15.75" customHeight="1">
      <c r="B72" s="54"/>
      <c r="C72" s="54"/>
      <c r="D72" s="54"/>
      <c r="E72" s="54"/>
      <c r="F72" s="54"/>
      <c r="G72" s="54"/>
    </row>
    <row r="73" spans="2:7" ht="15.75" customHeight="1">
      <c r="B73" s="54"/>
      <c r="C73" s="54"/>
      <c r="D73" s="54"/>
      <c r="E73" s="54"/>
      <c r="F73" s="54"/>
      <c r="G73" s="54"/>
    </row>
    <row r="74" spans="2:7" ht="15.75" customHeight="1">
      <c r="B74" s="54"/>
      <c r="C74" s="54"/>
      <c r="D74" s="54"/>
      <c r="E74" s="54"/>
      <c r="F74" s="54"/>
      <c r="G74" s="54"/>
    </row>
    <row r="75" spans="2:7" ht="15.75" customHeight="1">
      <c r="B75" s="54"/>
      <c r="C75" s="54"/>
      <c r="D75" s="54"/>
      <c r="E75" s="54"/>
      <c r="F75" s="54"/>
      <c r="G75" s="54"/>
    </row>
    <row r="76" spans="2:7" ht="15.75" customHeight="1">
      <c r="B76" s="54"/>
      <c r="C76" s="54"/>
      <c r="D76" s="54"/>
      <c r="E76" s="54"/>
      <c r="F76" s="54"/>
      <c r="G76" s="54"/>
    </row>
    <row r="77" spans="2:7" ht="15.75" customHeight="1">
      <c r="B77" s="54"/>
      <c r="C77" s="54"/>
      <c r="D77" s="54"/>
      <c r="E77" s="54"/>
      <c r="F77" s="54"/>
      <c r="G77" s="54"/>
    </row>
    <row r="78" spans="2:7" ht="15.75" customHeight="1">
      <c r="B78" s="54"/>
      <c r="C78" s="54"/>
      <c r="D78" s="54"/>
      <c r="E78" s="54"/>
      <c r="F78" s="54"/>
      <c r="G78" s="54"/>
    </row>
    <row r="79" spans="2:7" ht="15.75" customHeight="1">
      <c r="B79" s="54"/>
      <c r="C79" s="54"/>
      <c r="D79" s="54"/>
      <c r="E79" s="54"/>
      <c r="F79" s="54"/>
      <c r="G79" s="54"/>
    </row>
    <row r="80" spans="2:7" ht="15.75" customHeight="1">
      <c r="B80" s="54"/>
      <c r="C80" s="54"/>
      <c r="D80" s="54"/>
      <c r="E80" s="54"/>
      <c r="F80" s="54"/>
      <c r="G80" s="54"/>
    </row>
    <row r="81" spans="2:7" ht="15.75" customHeight="1">
      <c r="B81" s="54"/>
      <c r="C81" s="54"/>
      <c r="D81" s="54"/>
      <c r="E81" s="54"/>
      <c r="F81" s="54"/>
      <c r="G81" s="54"/>
    </row>
    <row r="82" spans="2:7" ht="15.75" customHeight="1">
      <c r="B82" s="54"/>
      <c r="C82" s="54"/>
      <c r="D82" s="54"/>
      <c r="E82" s="54"/>
      <c r="F82" s="54"/>
      <c r="G82" s="54"/>
    </row>
    <row r="83" spans="2:7" ht="15.75" customHeight="1">
      <c r="B83" s="54"/>
      <c r="C83" s="54"/>
      <c r="D83" s="54"/>
      <c r="E83" s="54"/>
      <c r="F83" s="54"/>
      <c r="G83" s="54"/>
    </row>
    <row r="84" spans="2:7" ht="15.75" customHeight="1">
      <c r="B84" s="54"/>
      <c r="C84" s="54"/>
      <c r="D84" s="54"/>
      <c r="E84" s="54"/>
      <c r="F84" s="54"/>
      <c r="G84" s="54"/>
    </row>
    <row r="85" spans="2:7" ht="15.75" customHeight="1">
      <c r="B85" s="54"/>
      <c r="C85" s="54"/>
      <c r="D85" s="54"/>
      <c r="E85" s="54"/>
      <c r="F85" s="54"/>
      <c r="G85" s="54"/>
    </row>
    <row r="86" spans="2:7" ht="15.75" customHeight="1">
      <c r="B86" s="54"/>
      <c r="C86" s="54"/>
      <c r="D86" s="54"/>
      <c r="E86" s="54"/>
      <c r="F86" s="54"/>
      <c r="G86" s="54"/>
    </row>
    <row r="87" spans="2:7" ht="15.75" customHeight="1">
      <c r="B87" s="54"/>
      <c r="C87" s="54"/>
      <c r="D87" s="54"/>
      <c r="E87" s="54"/>
      <c r="F87" s="54"/>
      <c r="G87" s="54"/>
    </row>
    <row r="88" spans="2:7" ht="15.75" customHeight="1">
      <c r="B88" s="54"/>
      <c r="C88" s="54"/>
      <c r="D88" s="54"/>
      <c r="E88" s="54"/>
      <c r="F88" s="54"/>
      <c r="G88" s="54"/>
    </row>
    <row r="89" spans="2:7" ht="15.75" customHeight="1">
      <c r="B89" s="54"/>
      <c r="C89" s="54"/>
      <c r="D89" s="54"/>
      <c r="E89" s="54"/>
      <c r="F89" s="54"/>
      <c r="G89" s="54"/>
    </row>
    <row r="90" spans="2:7" ht="15.75" customHeight="1">
      <c r="B90" s="54"/>
      <c r="C90" s="54"/>
      <c r="D90" s="54"/>
      <c r="E90" s="54"/>
      <c r="F90" s="54"/>
      <c r="G90" s="54"/>
    </row>
    <row r="91" spans="2:7" ht="15.75" customHeight="1">
      <c r="B91" s="54"/>
      <c r="C91" s="54"/>
      <c r="D91" s="54"/>
      <c r="E91" s="54"/>
      <c r="F91" s="54"/>
      <c r="G91" s="54"/>
    </row>
    <row r="92" spans="2:7" ht="15.75" customHeight="1">
      <c r="B92" s="54"/>
      <c r="C92" s="54"/>
      <c r="D92" s="54"/>
      <c r="E92" s="54"/>
      <c r="F92" s="54"/>
      <c r="G92" s="54"/>
    </row>
    <row r="93" spans="2:7" ht="15.75" customHeight="1">
      <c r="B93" s="54"/>
      <c r="C93" s="54"/>
      <c r="D93" s="54"/>
      <c r="E93" s="54"/>
      <c r="F93" s="54"/>
      <c r="G93" s="54"/>
    </row>
    <row r="94" spans="2:7" ht="15.75" customHeight="1">
      <c r="B94" s="54"/>
      <c r="C94" s="54"/>
      <c r="D94" s="54"/>
      <c r="E94" s="54"/>
      <c r="F94" s="54"/>
      <c r="G94" s="54"/>
    </row>
    <row r="95" spans="2:7" ht="15.75" customHeight="1">
      <c r="B95" s="54"/>
      <c r="C95" s="54"/>
      <c r="D95" s="54"/>
      <c r="E95" s="54"/>
      <c r="F95" s="54"/>
      <c r="G95" s="54"/>
    </row>
    <row r="96" spans="2:7" ht="15.75" customHeight="1">
      <c r="B96" s="54"/>
      <c r="C96" s="54"/>
      <c r="D96" s="54"/>
      <c r="E96" s="54"/>
      <c r="F96" s="54"/>
      <c r="G96" s="54"/>
    </row>
    <row r="97" spans="2:7" ht="15.75" customHeight="1">
      <c r="B97" s="54"/>
      <c r="C97" s="54"/>
      <c r="D97" s="54"/>
      <c r="E97" s="54"/>
      <c r="F97" s="54"/>
      <c r="G97" s="54"/>
    </row>
  </sheetData>
  <sheetProtection sheet="1" objects="1" scenarios="1"/>
  <mergeCells count="34">
    <mergeCell ref="B5:B7"/>
    <mergeCell ref="I5:J5"/>
    <mergeCell ref="I6:J6"/>
    <mergeCell ref="I7:J7"/>
    <mergeCell ref="C3:D3"/>
    <mergeCell ref="E3:F3"/>
    <mergeCell ref="C4:D4"/>
    <mergeCell ref="E4:F4"/>
    <mergeCell ref="C6:D6"/>
    <mergeCell ref="E5:F5"/>
    <mergeCell ref="E6:F6"/>
    <mergeCell ref="C5:D5"/>
    <mergeCell ref="C14:D14"/>
    <mergeCell ref="E14:F14"/>
    <mergeCell ref="C12:D12"/>
    <mergeCell ref="E12:F12"/>
    <mergeCell ref="C13:D13"/>
    <mergeCell ref="E13:F13"/>
    <mergeCell ref="C2:D2"/>
    <mergeCell ref="E2:F2"/>
    <mergeCell ref="C21:D21"/>
    <mergeCell ref="E21:F21"/>
    <mergeCell ref="C18:D18"/>
    <mergeCell ref="E18:F18"/>
    <mergeCell ref="E7:F7"/>
    <mergeCell ref="C11:D11"/>
    <mergeCell ref="E11:F11"/>
    <mergeCell ref="C7:D7"/>
    <mergeCell ref="B9:F9"/>
    <mergeCell ref="B16:F16"/>
    <mergeCell ref="C19:D19"/>
    <mergeCell ref="C20:D20"/>
    <mergeCell ref="E19:F19"/>
    <mergeCell ref="E20:F2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B1:M22"/>
  <sheetViews>
    <sheetView showGridLines="0" showRowColHeaders="0" zoomScaleNormal="100" workbookViewId="0">
      <selection activeCell="D6" sqref="D6"/>
    </sheetView>
  </sheetViews>
  <sheetFormatPr defaultRowHeight="21" customHeight="1"/>
  <cols>
    <col min="1" max="1" width="5.7109375" style="409" customWidth="1"/>
    <col min="2" max="3" width="11.85546875" style="409" customWidth="1"/>
    <col min="4" max="8" width="7.7109375" style="409" customWidth="1"/>
    <col min="9" max="9" width="9.5703125" style="409" customWidth="1"/>
    <col min="10" max="10" width="5.7109375" style="409" customWidth="1"/>
    <col min="11" max="11" width="21" style="409" hidden="1" customWidth="1"/>
    <col min="12" max="13" width="19.7109375" style="411" hidden="1" customWidth="1"/>
    <col min="14" max="254" width="9.140625" style="409"/>
    <col min="255" max="255" width="5.5703125" style="409" customWidth="1"/>
    <col min="256" max="256" width="3.140625" style="409" customWidth="1"/>
    <col min="257" max="258" width="11.85546875" style="409" customWidth="1"/>
    <col min="259" max="259" width="9" style="409" customWidth="1"/>
    <col min="260" max="260" width="6.28515625" style="409" customWidth="1"/>
    <col min="261" max="264" width="5.140625" style="409" customWidth="1"/>
    <col min="265" max="265" width="8.5703125" style="409" customWidth="1"/>
    <col min="266" max="266" width="3.5703125" style="409" customWidth="1"/>
    <col min="267" max="267" width="0" style="409" hidden="1" customWidth="1"/>
    <col min="268" max="510" width="9.140625" style="409"/>
    <col min="511" max="511" width="5.5703125" style="409" customWidth="1"/>
    <col min="512" max="512" width="3.140625" style="409" customWidth="1"/>
    <col min="513" max="514" width="11.85546875" style="409" customWidth="1"/>
    <col min="515" max="515" width="9" style="409" customWidth="1"/>
    <col min="516" max="516" width="6.28515625" style="409" customWidth="1"/>
    <col min="517" max="520" width="5.140625" style="409" customWidth="1"/>
    <col min="521" max="521" width="8.5703125" style="409" customWidth="1"/>
    <col min="522" max="522" width="3.5703125" style="409" customWidth="1"/>
    <col min="523" max="523" width="0" style="409" hidden="1" customWidth="1"/>
    <col min="524" max="766" width="9.140625" style="409"/>
    <col min="767" max="767" width="5.5703125" style="409" customWidth="1"/>
    <col min="768" max="768" width="3.140625" style="409" customWidth="1"/>
    <col min="769" max="770" width="11.85546875" style="409" customWidth="1"/>
    <col min="771" max="771" width="9" style="409" customWidth="1"/>
    <col min="772" max="772" width="6.28515625" style="409" customWidth="1"/>
    <col min="773" max="776" width="5.140625" style="409" customWidth="1"/>
    <col min="777" max="777" width="8.5703125" style="409" customWidth="1"/>
    <col min="778" max="778" width="3.5703125" style="409" customWidth="1"/>
    <col min="779" max="779" width="0" style="409" hidden="1" customWidth="1"/>
    <col min="780" max="1022" width="9.140625" style="409"/>
    <col min="1023" max="1023" width="5.5703125" style="409" customWidth="1"/>
    <col min="1024" max="1024" width="3.140625" style="409" customWidth="1"/>
    <col min="1025" max="1026" width="11.85546875" style="409" customWidth="1"/>
    <col min="1027" max="1027" width="9" style="409" customWidth="1"/>
    <col min="1028" max="1028" width="6.28515625" style="409" customWidth="1"/>
    <col min="1029" max="1032" width="5.140625" style="409" customWidth="1"/>
    <col min="1033" max="1033" width="8.5703125" style="409" customWidth="1"/>
    <col min="1034" max="1034" width="3.5703125" style="409" customWidth="1"/>
    <col min="1035" max="1035" width="0" style="409" hidden="1" customWidth="1"/>
    <col min="1036" max="1278" width="9.140625" style="409"/>
    <col min="1279" max="1279" width="5.5703125" style="409" customWidth="1"/>
    <col min="1280" max="1280" width="3.140625" style="409" customWidth="1"/>
    <col min="1281" max="1282" width="11.85546875" style="409" customWidth="1"/>
    <col min="1283" max="1283" width="9" style="409" customWidth="1"/>
    <col min="1284" max="1284" width="6.28515625" style="409" customWidth="1"/>
    <col min="1285" max="1288" width="5.140625" style="409" customWidth="1"/>
    <col min="1289" max="1289" width="8.5703125" style="409" customWidth="1"/>
    <col min="1290" max="1290" width="3.5703125" style="409" customWidth="1"/>
    <col min="1291" max="1291" width="0" style="409" hidden="1" customWidth="1"/>
    <col min="1292" max="1534" width="9.140625" style="409"/>
    <col min="1535" max="1535" width="5.5703125" style="409" customWidth="1"/>
    <col min="1536" max="1536" width="3.140625" style="409" customWidth="1"/>
    <col min="1537" max="1538" width="11.85546875" style="409" customWidth="1"/>
    <col min="1539" max="1539" width="9" style="409" customWidth="1"/>
    <col min="1540" max="1540" width="6.28515625" style="409" customWidth="1"/>
    <col min="1541" max="1544" width="5.140625" style="409" customWidth="1"/>
    <col min="1545" max="1545" width="8.5703125" style="409" customWidth="1"/>
    <col min="1546" max="1546" width="3.5703125" style="409" customWidth="1"/>
    <col min="1547" max="1547" width="0" style="409" hidden="1" customWidth="1"/>
    <col min="1548" max="1790" width="9.140625" style="409"/>
    <col min="1791" max="1791" width="5.5703125" style="409" customWidth="1"/>
    <col min="1792" max="1792" width="3.140625" style="409" customWidth="1"/>
    <col min="1793" max="1794" width="11.85546875" style="409" customWidth="1"/>
    <col min="1795" max="1795" width="9" style="409" customWidth="1"/>
    <col min="1796" max="1796" width="6.28515625" style="409" customWidth="1"/>
    <col min="1797" max="1800" width="5.140625" style="409" customWidth="1"/>
    <col min="1801" max="1801" width="8.5703125" style="409" customWidth="1"/>
    <col min="1802" max="1802" width="3.5703125" style="409" customWidth="1"/>
    <col min="1803" max="1803" width="0" style="409" hidden="1" customWidth="1"/>
    <col min="1804" max="2046" width="9.140625" style="409"/>
    <col min="2047" max="2047" width="5.5703125" style="409" customWidth="1"/>
    <col min="2048" max="2048" width="3.140625" style="409" customWidth="1"/>
    <col min="2049" max="2050" width="11.85546875" style="409" customWidth="1"/>
    <col min="2051" max="2051" width="9" style="409" customWidth="1"/>
    <col min="2052" max="2052" width="6.28515625" style="409" customWidth="1"/>
    <col min="2053" max="2056" width="5.140625" style="409" customWidth="1"/>
    <col min="2057" max="2057" width="8.5703125" style="409" customWidth="1"/>
    <col min="2058" max="2058" width="3.5703125" style="409" customWidth="1"/>
    <col min="2059" max="2059" width="0" style="409" hidden="1" customWidth="1"/>
    <col min="2060" max="2302" width="9.140625" style="409"/>
    <col min="2303" max="2303" width="5.5703125" style="409" customWidth="1"/>
    <col min="2304" max="2304" width="3.140625" style="409" customWidth="1"/>
    <col min="2305" max="2306" width="11.85546875" style="409" customWidth="1"/>
    <col min="2307" max="2307" width="9" style="409" customWidth="1"/>
    <col min="2308" max="2308" width="6.28515625" style="409" customWidth="1"/>
    <col min="2309" max="2312" width="5.140625" style="409" customWidth="1"/>
    <col min="2313" max="2313" width="8.5703125" style="409" customWidth="1"/>
    <col min="2314" max="2314" width="3.5703125" style="409" customWidth="1"/>
    <col min="2315" max="2315" width="0" style="409" hidden="1" customWidth="1"/>
    <col min="2316" max="2558" width="9.140625" style="409"/>
    <col min="2559" max="2559" width="5.5703125" style="409" customWidth="1"/>
    <col min="2560" max="2560" width="3.140625" style="409" customWidth="1"/>
    <col min="2561" max="2562" width="11.85546875" style="409" customWidth="1"/>
    <col min="2563" max="2563" width="9" style="409" customWidth="1"/>
    <col min="2564" max="2564" width="6.28515625" style="409" customWidth="1"/>
    <col min="2565" max="2568" width="5.140625" style="409" customWidth="1"/>
    <col min="2569" max="2569" width="8.5703125" style="409" customWidth="1"/>
    <col min="2570" max="2570" width="3.5703125" style="409" customWidth="1"/>
    <col min="2571" max="2571" width="0" style="409" hidden="1" customWidth="1"/>
    <col min="2572" max="2814" width="9.140625" style="409"/>
    <col min="2815" max="2815" width="5.5703125" style="409" customWidth="1"/>
    <col min="2816" max="2816" width="3.140625" style="409" customWidth="1"/>
    <col min="2817" max="2818" width="11.85546875" style="409" customWidth="1"/>
    <col min="2819" max="2819" width="9" style="409" customWidth="1"/>
    <col min="2820" max="2820" width="6.28515625" style="409" customWidth="1"/>
    <col min="2821" max="2824" width="5.140625" style="409" customWidth="1"/>
    <col min="2825" max="2825" width="8.5703125" style="409" customWidth="1"/>
    <col min="2826" max="2826" width="3.5703125" style="409" customWidth="1"/>
    <col min="2827" max="2827" width="0" style="409" hidden="1" customWidth="1"/>
    <col min="2828" max="3070" width="9.140625" style="409"/>
    <col min="3071" max="3071" width="5.5703125" style="409" customWidth="1"/>
    <col min="3072" max="3072" width="3.140625" style="409" customWidth="1"/>
    <col min="3073" max="3074" width="11.85546875" style="409" customWidth="1"/>
    <col min="3075" max="3075" width="9" style="409" customWidth="1"/>
    <col min="3076" max="3076" width="6.28515625" style="409" customWidth="1"/>
    <col min="3077" max="3080" width="5.140625" style="409" customWidth="1"/>
    <col min="3081" max="3081" width="8.5703125" style="409" customWidth="1"/>
    <col min="3082" max="3082" width="3.5703125" style="409" customWidth="1"/>
    <col min="3083" max="3083" width="0" style="409" hidden="1" customWidth="1"/>
    <col min="3084" max="3326" width="9.140625" style="409"/>
    <col min="3327" max="3327" width="5.5703125" style="409" customWidth="1"/>
    <col min="3328" max="3328" width="3.140625" style="409" customWidth="1"/>
    <col min="3329" max="3330" width="11.85546875" style="409" customWidth="1"/>
    <col min="3331" max="3331" width="9" style="409" customWidth="1"/>
    <col min="3332" max="3332" width="6.28515625" style="409" customWidth="1"/>
    <col min="3333" max="3336" width="5.140625" style="409" customWidth="1"/>
    <col min="3337" max="3337" width="8.5703125" style="409" customWidth="1"/>
    <col min="3338" max="3338" width="3.5703125" style="409" customWidth="1"/>
    <col min="3339" max="3339" width="0" style="409" hidden="1" customWidth="1"/>
    <col min="3340" max="3582" width="9.140625" style="409"/>
    <col min="3583" max="3583" width="5.5703125" style="409" customWidth="1"/>
    <col min="3584" max="3584" width="3.140625" style="409" customWidth="1"/>
    <col min="3585" max="3586" width="11.85546875" style="409" customWidth="1"/>
    <col min="3587" max="3587" width="9" style="409" customWidth="1"/>
    <col min="3588" max="3588" width="6.28515625" style="409" customWidth="1"/>
    <col min="3589" max="3592" width="5.140625" style="409" customWidth="1"/>
    <col min="3593" max="3593" width="8.5703125" style="409" customWidth="1"/>
    <col min="3594" max="3594" width="3.5703125" style="409" customWidth="1"/>
    <col min="3595" max="3595" width="0" style="409" hidden="1" customWidth="1"/>
    <col min="3596" max="3838" width="9.140625" style="409"/>
    <col min="3839" max="3839" width="5.5703125" style="409" customWidth="1"/>
    <col min="3840" max="3840" width="3.140625" style="409" customWidth="1"/>
    <col min="3841" max="3842" width="11.85546875" style="409" customWidth="1"/>
    <col min="3843" max="3843" width="9" style="409" customWidth="1"/>
    <col min="3844" max="3844" width="6.28515625" style="409" customWidth="1"/>
    <col min="3845" max="3848" width="5.140625" style="409" customWidth="1"/>
    <col min="3849" max="3849" width="8.5703125" style="409" customWidth="1"/>
    <col min="3850" max="3850" width="3.5703125" style="409" customWidth="1"/>
    <col min="3851" max="3851" width="0" style="409" hidden="1" customWidth="1"/>
    <col min="3852" max="4094" width="9.140625" style="409"/>
    <col min="4095" max="4095" width="5.5703125" style="409" customWidth="1"/>
    <col min="4096" max="4096" width="3.140625" style="409" customWidth="1"/>
    <col min="4097" max="4098" width="11.85546875" style="409" customWidth="1"/>
    <col min="4099" max="4099" width="9" style="409" customWidth="1"/>
    <col min="4100" max="4100" width="6.28515625" style="409" customWidth="1"/>
    <col min="4101" max="4104" width="5.140625" style="409" customWidth="1"/>
    <col min="4105" max="4105" width="8.5703125" style="409" customWidth="1"/>
    <col min="4106" max="4106" width="3.5703125" style="409" customWidth="1"/>
    <col min="4107" max="4107" width="0" style="409" hidden="1" customWidth="1"/>
    <col min="4108" max="4350" width="9.140625" style="409"/>
    <col min="4351" max="4351" width="5.5703125" style="409" customWidth="1"/>
    <col min="4352" max="4352" width="3.140625" style="409" customWidth="1"/>
    <col min="4353" max="4354" width="11.85546875" style="409" customWidth="1"/>
    <col min="4355" max="4355" width="9" style="409" customWidth="1"/>
    <col min="4356" max="4356" width="6.28515625" style="409" customWidth="1"/>
    <col min="4357" max="4360" width="5.140625" style="409" customWidth="1"/>
    <col min="4361" max="4361" width="8.5703125" style="409" customWidth="1"/>
    <col min="4362" max="4362" width="3.5703125" style="409" customWidth="1"/>
    <col min="4363" max="4363" width="0" style="409" hidden="1" customWidth="1"/>
    <col min="4364" max="4606" width="9.140625" style="409"/>
    <col min="4607" max="4607" width="5.5703125" style="409" customWidth="1"/>
    <col min="4608" max="4608" width="3.140625" style="409" customWidth="1"/>
    <col min="4609" max="4610" width="11.85546875" style="409" customWidth="1"/>
    <col min="4611" max="4611" width="9" style="409" customWidth="1"/>
    <col min="4612" max="4612" width="6.28515625" style="409" customWidth="1"/>
    <col min="4613" max="4616" width="5.140625" style="409" customWidth="1"/>
    <col min="4617" max="4617" width="8.5703125" style="409" customWidth="1"/>
    <col min="4618" max="4618" width="3.5703125" style="409" customWidth="1"/>
    <col min="4619" max="4619" width="0" style="409" hidden="1" customWidth="1"/>
    <col min="4620" max="4862" width="9.140625" style="409"/>
    <col min="4863" max="4863" width="5.5703125" style="409" customWidth="1"/>
    <col min="4864" max="4864" width="3.140625" style="409" customWidth="1"/>
    <col min="4865" max="4866" width="11.85546875" style="409" customWidth="1"/>
    <col min="4867" max="4867" width="9" style="409" customWidth="1"/>
    <col min="4868" max="4868" width="6.28515625" style="409" customWidth="1"/>
    <col min="4869" max="4872" width="5.140625" style="409" customWidth="1"/>
    <col min="4873" max="4873" width="8.5703125" style="409" customWidth="1"/>
    <col min="4874" max="4874" width="3.5703125" style="409" customWidth="1"/>
    <col min="4875" max="4875" width="0" style="409" hidden="1" customWidth="1"/>
    <col min="4876" max="5118" width="9.140625" style="409"/>
    <col min="5119" max="5119" width="5.5703125" style="409" customWidth="1"/>
    <col min="5120" max="5120" width="3.140625" style="409" customWidth="1"/>
    <col min="5121" max="5122" width="11.85546875" style="409" customWidth="1"/>
    <col min="5123" max="5123" width="9" style="409" customWidth="1"/>
    <col min="5124" max="5124" width="6.28515625" style="409" customWidth="1"/>
    <col min="5125" max="5128" width="5.140625" style="409" customWidth="1"/>
    <col min="5129" max="5129" width="8.5703125" style="409" customWidth="1"/>
    <col min="5130" max="5130" width="3.5703125" style="409" customWidth="1"/>
    <col min="5131" max="5131" width="0" style="409" hidden="1" customWidth="1"/>
    <col min="5132" max="5374" width="9.140625" style="409"/>
    <col min="5375" max="5375" width="5.5703125" style="409" customWidth="1"/>
    <col min="5376" max="5376" width="3.140625" style="409" customWidth="1"/>
    <col min="5377" max="5378" width="11.85546875" style="409" customWidth="1"/>
    <col min="5379" max="5379" width="9" style="409" customWidth="1"/>
    <col min="5380" max="5380" width="6.28515625" style="409" customWidth="1"/>
    <col min="5381" max="5384" width="5.140625" style="409" customWidth="1"/>
    <col min="5385" max="5385" width="8.5703125" style="409" customWidth="1"/>
    <col min="5386" max="5386" width="3.5703125" style="409" customWidth="1"/>
    <col min="5387" max="5387" width="0" style="409" hidden="1" customWidth="1"/>
    <col min="5388" max="5630" width="9.140625" style="409"/>
    <col min="5631" max="5631" width="5.5703125" style="409" customWidth="1"/>
    <col min="5632" max="5632" width="3.140625" style="409" customWidth="1"/>
    <col min="5633" max="5634" width="11.85546875" style="409" customWidth="1"/>
    <col min="5635" max="5635" width="9" style="409" customWidth="1"/>
    <col min="5636" max="5636" width="6.28515625" style="409" customWidth="1"/>
    <col min="5637" max="5640" width="5.140625" style="409" customWidth="1"/>
    <col min="5641" max="5641" width="8.5703125" style="409" customWidth="1"/>
    <col min="5642" max="5642" width="3.5703125" style="409" customWidth="1"/>
    <col min="5643" max="5643" width="0" style="409" hidden="1" customWidth="1"/>
    <col min="5644" max="5886" width="9.140625" style="409"/>
    <col min="5887" max="5887" width="5.5703125" style="409" customWidth="1"/>
    <col min="5888" max="5888" width="3.140625" style="409" customWidth="1"/>
    <col min="5889" max="5890" width="11.85546875" style="409" customWidth="1"/>
    <col min="5891" max="5891" width="9" style="409" customWidth="1"/>
    <col min="5892" max="5892" width="6.28515625" style="409" customWidth="1"/>
    <col min="5893" max="5896" width="5.140625" style="409" customWidth="1"/>
    <col min="5897" max="5897" width="8.5703125" style="409" customWidth="1"/>
    <col min="5898" max="5898" width="3.5703125" style="409" customWidth="1"/>
    <col min="5899" max="5899" width="0" style="409" hidden="1" customWidth="1"/>
    <col min="5900" max="6142" width="9.140625" style="409"/>
    <col min="6143" max="6143" width="5.5703125" style="409" customWidth="1"/>
    <col min="6144" max="6144" width="3.140625" style="409" customWidth="1"/>
    <col min="6145" max="6146" width="11.85546875" style="409" customWidth="1"/>
    <col min="6147" max="6147" width="9" style="409" customWidth="1"/>
    <col min="6148" max="6148" width="6.28515625" style="409" customWidth="1"/>
    <col min="6149" max="6152" width="5.140625" style="409" customWidth="1"/>
    <col min="6153" max="6153" width="8.5703125" style="409" customWidth="1"/>
    <col min="6154" max="6154" width="3.5703125" style="409" customWidth="1"/>
    <col min="6155" max="6155" width="0" style="409" hidden="1" customWidth="1"/>
    <col min="6156" max="6398" width="9.140625" style="409"/>
    <col min="6399" max="6399" width="5.5703125" style="409" customWidth="1"/>
    <col min="6400" max="6400" width="3.140625" style="409" customWidth="1"/>
    <col min="6401" max="6402" width="11.85546875" style="409" customWidth="1"/>
    <col min="6403" max="6403" width="9" style="409" customWidth="1"/>
    <col min="6404" max="6404" width="6.28515625" style="409" customWidth="1"/>
    <col min="6405" max="6408" width="5.140625" style="409" customWidth="1"/>
    <col min="6409" max="6409" width="8.5703125" style="409" customWidth="1"/>
    <col min="6410" max="6410" width="3.5703125" style="409" customWidth="1"/>
    <col min="6411" max="6411" width="0" style="409" hidden="1" customWidth="1"/>
    <col min="6412" max="6654" width="9.140625" style="409"/>
    <col min="6655" max="6655" width="5.5703125" style="409" customWidth="1"/>
    <col min="6656" max="6656" width="3.140625" style="409" customWidth="1"/>
    <col min="6657" max="6658" width="11.85546875" style="409" customWidth="1"/>
    <col min="6659" max="6659" width="9" style="409" customWidth="1"/>
    <col min="6660" max="6660" width="6.28515625" style="409" customWidth="1"/>
    <col min="6661" max="6664" width="5.140625" style="409" customWidth="1"/>
    <col min="6665" max="6665" width="8.5703125" style="409" customWidth="1"/>
    <col min="6666" max="6666" width="3.5703125" style="409" customWidth="1"/>
    <col min="6667" max="6667" width="0" style="409" hidden="1" customWidth="1"/>
    <col min="6668" max="6910" width="9.140625" style="409"/>
    <col min="6911" max="6911" width="5.5703125" style="409" customWidth="1"/>
    <col min="6912" max="6912" width="3.140625" style="409" customWidth="1"/>
    <col min="6913" max="6914" width="11.85546875" style="409" customWidth="1"/>
    <col min="6915" max="6915" width="9" style="409" customWidth="1"/>
    <col min="6916" max="6916" width="6.28515625" style="409" customWidth="1"/>
    <col min="6917" max="6920" width="5.140625" style="409" customWidth="1"/>
    <col min="6921" max="6921" width="8.5703125" style="409" customWidth="1"/>
    <col min="6922" max="6922" width="3.5703125" style="409" customWidth="1"/>
    <col min="6923" max="6923" width="0" style="409" hidden="1" customWidth="1"/>
    <col min="6924" max="7166" width="9.140625" style="409"/>
    <col min="7167" max="7167" width="5.5703125" style="409" customWidth="1"/>
    <col min="7168" max="7168" width="3.140625" style="409" customWidth="1"/>
    <col min="7169" max="7170" width="11.85546875" style="409" customWidth="1"/>
    <col min="7171" max="7171" width="9" style="409" customWidth="1"/>
    <col min="7172" max="7172" width="6.28515625" style="409" customWidth="1"/>
    <col min="7173" max="7176" width="5.140625" style="409" customWidth="1"/>
    <col min="7177" max="7177" width="8.5703125" style="409" customWidth="1"/>
    <col min="7178" max="7178" width="3.5703125" style="409" customWidth="1"/>
    <col min="7179" max="7179" width="0" style="409" hidden="1" customWidth="1"/>
    <col min="7180" max="7422" width="9.140625" style="409"/>
    <col min="7423" max="7423" width="5.5703125" style="409" customWidth="1"/>
    <col min="7424" max="7424" width="3.140625" style="409" customWidth="1"/>
    <col min="7425" max="7426" width="11.85546875" style="409" customWidth="1"/>
    <col min="7427" max="7427" width="9" style="409" customWidth="1"/>
    <col min="7428" max="7428" width="6.28515625" style="409" customWidth="1"/>
    <col min="7429" max="7432" width="5.140625" style="409" customWidth="1"/>
    <col min="7433" max="7433" width="8.5703125" style="409" customWidth="1"/>
    <col min="7434" max="7434" width="3.5703125" style="409" customWidth="1"/>
    <col min="7435" max="7435" width="0" style="409" hidden="1" customWidth="1"/>
    <col min="7436" max="7678" width="9.140625" style="409"/>
    <col min="7679" max="7679" width="5.5703125" style="409" customWidth="1"/>
    <col min="7680" max="7680" width="3.140625" style="409" customWidth="1"/>
    <col min="7681" max="7682" width="11.85546875" style="409" customWidth="1"/>
    <col min="7683" max="7683" width="9" style="409" customWidth="1"/>
    <col min="7684" max="7684" width="6.28515625" style="409" customWidth="1"/>
    <col min="7685" max="7688" width="5.140625" style="409" customWidth="1"/>
    <col min="7689" max="7689" width="8.5703125" style="409" customWidth="1"/>
    <col min="7690" max="7690" width="3.5703125" style="409" customWidth="1"/>
    <col min="7691" max="7691" width="0" style="409" hidden="1" customWidth="1"/>
    <col min="7692" max="7934" width="9.140625" style="409"/>
    <col min="7935" max="7935" width="5.5703125" style="409" customWidth="1"/>
    <col min="7936" max="7936" width="3.140625" style="409" customWidth="1"/>
    <col min="7937" max="7938" width="11.85546875" style="409" customWidth="1"/>
    <col min="7939" max="7939" width="9" style="409" customWidth="1"/>
    <col min="7940" max="7940" width="6.28515625" style="409" customWidth="1"/>
    <col min="7941" max="7944" width="5.140625" style="409" customWidth="1"/>
    <col min="7945" max="7945" width="8.5703125" style="409" customWidth="1"/>
    <col min="7946" max="7946" width="3.5703125" style="409" customWidth="1"/>
    <col min="7947" max="7947" width="0" style="409" hidden="1" customWidth="1"/>
    <col min="7948" max="8190" width="9.140625" style="409"/>
    <col min="8191" max="8191" width="5.5703125" style="409" customWidth="1"/>
    <col min="8192" max="8192" width="3.140625" style="409" customWidth="1"/>
    <col min="8193" max="8194" width="11.85546875" style="409" customWidth="1"/>
    <col min="8195" max="8195" width="9" style="409" customWidth="1"/>
    <col min="8196" max="8196" width="6.28515625" style="409" customWidth="1"/>
    <col min="8197" max="8200" width="5.140625" style="409" customWidth="1"/>
    <col min="8201" max="8201" width="8.5703125" style="409" customWidth="1"/>
    <col min="8202" max="8202" width="3.5703125" style="409" customWidth="1"/>
    <col min="8203" max="8203" width="0" style="409" hidden="1" customWidth="1"/>
    <col min="8204" max="8446" width="9.140625" style="409"/>
    <col min="8447" max="8447" width="5.5703125" style="409" customWidth="1"/>
    <col min="8448" max="8448" width="3.140625" style="409" customWidth="1"/>
    <col min="8449" max="8450" width="11.85546875" style="409" customWidth="1"/>
    <col min="8451" max="8451" width="9" style="409" customWidth="1"/>
    <col min="8452" max="8452" width="6.28515625" style="409" customWidth="1"/>
    <col min="8453" max="8456" width="5.140625" style="409" customWidth="1"/>
    <col min="8457" max="8457" width="8.5703125" style="409" customWidth="1"/>
    <col min="8458" max="8458" width="3.5703125" style="409" customWidth="1"/>
    <col min="8459" max="8459" width="0" style="409" hidden="1" customWidth="1"/>
    <col min="8460" max="8702" width="9.140625" style="409"/>
    <col min="8703" max="8703" width="5.5703125" style="409" customWidth="1"/>
    <col min="8704" max="8704" width="3.140625" style="409" customWidth="1"/>
    <col min="8705" max="8706" width="11.85546875" style="409" customWidth="1"/>
    <col min="8707" max="8707" width="9" style="409" customWidth="1"/>
    <col min="8708" max="8708" width="6.28515625" style="409" customWidth="1"/>
    <col min="8709" max="8712" width="5.140625" style="409" customWidth="1"/>
    <col min="8713" max="8713" width="8.5703125" style="409" customWidth="1"/>
    <col min="8714" max="8714" width="3.5703125" style="409" customWidth="1"/>
    <col min="8715" max="8715" width="0" style="409" hidden="1" customWidth="1"/>
    <col min="8716" max="8958" width="9.140625" style="409"/>
    <col min="8959" max="8959" width="5.5703125" style="409" customWidth="1"/>
    <col min="8960" max="8960" width="3.140625" style="409" customWidth="1"/>
    <col min="8961" max="8962" width="11.85546875" style="409" customWidth="1"/>
    <col min="8963" max="8963" width="9" style="409" customWidth="1"/>
    <col min="8964" max="8964" width="6.28515625" style="409" customWidth="1"/>
    <col min="8965" max="8968" width="5.140625" style="409" customWidth="1"/>
    <col min="8969" max="8969" width="8.5703125" style="409" customWidth="1"/>
    <col min="8970" max="8970" width="3.5703125" style="409" customWidth="1"/>
    <col min="8971" max="8971" width="0" style="409" hidden="1" customWidth="1"/>
    <col min="8972" max="9214" width="9.140625" style="409"/>
    <col min="9215" max="9215" width="5.5703125" style="409" customWidth="1"/>
    <col min="9216" max="9216" width="3.140625" style="409" customWidth="1"/>
    <col min="9217" max="9218" width="11.85546875" style="409" customWidth="1"/>
    <col min="9219" max="9219" width="9" style="409" customWidth="1"/>
    <col min="9220" max="9220" width="6.28515625" style="409" customWidth="1"/>
    <col min="9221" max="9224" width="5.140625" style="409" customWidth="1"/>
    <col min="9225" max="9225" width="8.5703125" style="409" customWidth="1"/>
    <col min="9226" max="9226" width="3.5703125" style="409" customWidth="1"/>
    <col min="9227" max="9227" width="0" style="409" hidden="1" customWidth="1"/>
    <col min="9228" max="9470" width="9.140625" style="409"/>
    <col min="9471" max="9471" width="5.5703125" style="409" customWidth="1"/>
    <col min="9472" max="9472" width="3.140625" style="409" customWidth="1"/>
    <col min="9473" max="9474" width="11.85546875" style="409" customWidth="1"/>
    <col min="9475" max="9475" width="9" style="409" customWidth="1"/>
    <col min="9476" max="9476" width="6.28515625" style="409" customWidth="1"/>
    <col min="9477" max="9480" width="5.140625" style="409" customWidth="1"/>
    <col min="9481" max="9481" width="8.5703125" style="409" customWidth="1"/>
    <col min="9482" max="9482" width="3.5703125" style="409" customWidth="1"/>
    <col min="9483" max="9483" width="0" style="409" hidden="1" customWidth="1"/>
    <col min="9484" max="9726" width="9.140625" style="409"/>
    <col min="9727" max="9727" width="5.5703125" style="409" customWidth="1"/>
    <col min="9728" max="9728" width="3.140625" style="409" customWidth="1"/>
    <col min="9729" max="9730" width="11.85546875" style="409" customWidth="1"/>
    <col min="9731" max="9731" width="9" style="409" customWidth="1"/>
    <col min="9732" max="9732" width="6.28515625" style="409" customWidth="1"/>
    <col min="9733" max="9736" width="5.140625" style="409" customWidth="1"/>
    <col min="9737" max="9737" width="8.5703125" style="409" customWidth="1"/>
    <col min="9738" max="9738" width="3.5703125" style="409" customWidth="1"/>
    <col min="9739" max="9739" width="0" style="409" hidden="1" customWidth="1"/>
    <col min="9740" max="9982" width="9.140625" style="409"/>
    <col min="9983" max="9983" width="5.5703125" style="409" customWidth="1"/>
    <col min="9984" max="9984" width="3.140625" style="409" customWidth="1"/>
    <col min="9985" max="9986" width="11.85546875" style="409" customWidth="1"/>
    <col min="9987" max="9987" width="9" style="409" customWidth="1"/>
    <col min="9988" max="9988" width="6.28515625" style="409" customWidth="1"/>
    <col min="9989" max="9992" width="5.140625" style="409" customWidth="1"/>
    <col min="9993" max="9993" width="8.5703125" style="409" customWidth="1"/>
    <col min="9994" max="9994" width="3.5703125" style="409" customWidth="1"/>
    <col min="9995" max="9995" width="0" style="409" hidden="1" customWidth="1"/>
    <col min="9996" max="10238" width="9.140625" style="409"/>
    <col min="10239" max="10239" width="5.5703125" style="409" customWidth="1"/>
    <col min="10240" max="10240" width="3.140625" style="409" customWidth="1"/>
    <col min="10241" max="10242" width="11.85546875" style="409" customWidth="1"/>
    <col min="10243" max="10243" width="9" style="409" customWidth="1"/>
    <col min="10244" max="10244" width="6.28515625" style="409" customWidth="1"/>
    <col min="10245" max="10248" width="5.140625" style="409" customWidth="1"/>
    <col min="10249" max="10249" width="8.5703125" style="409" customWidth="1"/>
    <col min="10250" max="10250" width="3.5703125" style="409" customWidth="1"/>
    <col min="10251" max="10251" width="0" style="409" hidden="1" customWidth="1"/>
    <col min="10252" max="10494" width="9.140625" style="409"/>
    <col min="10495" max="10495" width="5.5703125" style="409" customWidth="1"/>
    <col min="10496" max="10496" width="3.140625" style="409" customWidth="1"/>
    <col min="10497" max="10498" width="11.85546875" style="409" customWidth="1"/>
    <col min="10499" max="10499" width="9" style="409" customWidth="1"/>
    <col min="10500" max="10500" width="6.28515625" style="409" customWidth="1"/>
    <col min="10501" max="10504" width="5.140625" style="409" customWidth="1"/>
    <col min="10505" max="10505" width="8.5703125" style="409" customWidth="1"/>
    <col min="10506" max="10506" width="3.5703125" style="409" customWidth="1"/>
    <col min="10507" max="10507" width="0" style="409" hidden="1" customWidth="1"/>
    <col min="10508" max="10750" width="9.140625" style="409"/>
    <col min="10751" max="10751" width="5.5703125" style="409" customWidth="1"/>
    <col min="10752" max="10752" width="3.140625" style="409" customWidth="1"/>
    <col min="10753" max="10754" width="11.85546875" style="409" customWidth="1"/>
    <col min="10755" max="10755" width="9" style="409" customWidth="1"/>
    <col min="10756" max="10756" width="6.28515625" style="409" customWidth="1"/>
    <col min="10757" max="10760" width="5.140625" style="409" customWidth="1"/>
    <col min="10761" max="10761" width="8.5703125" style="409" customWidth="1"/>
    <col min="10762" max="10762" width="3.5703125" style="409" customWidth="1"/>
    <col min="10763" max="10763" width="0" style="409" hidden="1" customWidth="1"/>
    <col min="10764" max="11006" width="9.140625" style="409"/>
    <col min="11007" max="11007" width="5.5703125" style="409" customWidth="1"/>
    <col min="11008" max="11008" width="3.140625" style="409" customWidth="1"/>
    <col min="11009" max="11010" width="11.85546875" style="409" customWidth="1"/>
    <col min="11011" max="11011" width="9" style="409" customWidth="1"/>
    <col min="11012" max="11012" width="6.28515625" style="409" customWidth="1"/>
    <col min="11013" max="11016" width="5.140625" style="409" customWidth="1"/>
    <col min="11017" max="11017" width="8.5703125" style="409" customWidth="1"/>
    <col min="11018" max="11018" width="3.5703125" style="409" customWidth="1"/>
    <col min="11019" max="11019" width="0" style="409" hidden="1" customWidth="1"/>
    <col min="11020" max="11262" width="9.140625" style="409"/>
    <col min="11263" max="11263" width="5.5703125" style="409" customWidth="1"/>
    <col min="11264" max="11264" width="3.140625" style="409" customWidth="1"/>
    <col min="11265" max="11266" width="11.85546875" style="409" customWidth="1"/>
    <col min="11267" max="11267" width="9" style="409" customWidth="1"/>
    <col min="11268" max="11268" width="6.28515625" style="409" customWidth="1"/>
    <col min="11269" max="11272" width="5.140625" style="409" customWidth="1"/>
    <col min="11273" max="11273" width="8.5703125" style="409" customWidth="1"/>
    <col min="11274" max="11274" width="3.5703125" style="409" customWidth="1"/>
    <col min="11275" max="11275" width="0" style="409" hidden="1" customWidth="1"/>
    <col min="11276" max="11518" width="9.140625" style="409"/>
    <col min="11519" max="11519" width="5.5703125" style="409" customWidth="1"/>
    <col min="11520" max="11520" width="3.140625" style="409" customWidth="1"/>
    <col min="11521" max="11522" width="11.85546875" style="409" customWidth="1"/>
    <col min="11523" max="11523" width="9" style="409" customWidth="1"/>
    <col min="11524" max="11524" width="6.28515625" style="409" customWidth="1"/>
    <col min="11525" max="11528" width="5.140625" style="409" customWidth="1"/>
    <col min="11529" max="11529" width="8.5703125" style="409" customWidth="1"/>
    <col min="11530" max="11530" width="3.5703125" style="409" customWidth="1"/>
    <col min="11531" max="11531" width="0" style="409" hidden="1" customWidth="1"/>
    <col min="11532" max="11774" width="9.140625" style="409"/>
    <col min="11775" max="11775" width="5.5703125" style="409" customWidth="1"/>
    <col min="11776" max="11776" width="3.140625" style="409" customWidth="1"/>
    <col min="11777" max="11778" width="11.85546875" style="409" customWidth="1"/>
    <col min="11779" max="11779" width="9" style="409" customWidth="1"/>
    <col min="11780" max="11780" width="6.28515625" style="409" customWidth="1"/>
    <col min="11781" max="11784" width="5.140625" style="409" customWidth="1"/>
    <col min="11785" max="11785" width="8.5703125" style="409" customWidth="1"/>
    <col min="11786" max="11786" width="3.5703125" style="409" customWidth="1"/>
    <col min="11787" max="11787" width="0" style="409" hidden="1" customWidth="1"/>
    <col min="11788" max="12030" width="9.140625" style="409"/>
    <col min="12031" max="12031" width="5.5703125" style="409" customWidth="1"/>
    <col min="12032" max="12032" width="3.140625" style="409" customWidth="1"/>
    <col min="12033" max="12034" width="11.85546875" style="409" customWidth="1"/>
    <col min="12035" max="12035" width="9" style="409" customWidth="1"/>
    <col min="12036" max="12036" width="6.28515625" style="409" customWidth="1"/>
    <col min="12037" max="12040" width="5.140625" style="409" customWidth="1"/>
    <col min="12041" max="12041" width="8.5703125" style="409" customWidth="1"/>
    <col min="12042" max="12042" width="3.5703125" style="409" customWidth="1"/>
    <col min="12043" max="12043" width="0" style="409" hidden="1" customWidth="1"/>
    <col min="12044" max="12286" width="9.140625" style="409"/>
    <col min="12287" max="12287" width="5.5703125" style="409" customWidth="1"/>
    <col min="12288" max="12288" width="3.140625" style="409" customWidth="1"/>
    <col min="12289" max="12290" width="11.85546875" style="409" customWidth="1"/>
    <col min="12291" max="12291" width="9" style="409" customWidth="1"/>
    <col min="12292" max="12292" width="6.28515625" style="409" customWidth="1"/>
    <col min="12293" max="12296" width="5.140625" style="409" customWidth="1"/>
    <col min="12297" max="12297" width="8.5703125" style="409" customWidth="1"/>
    <col min="12298" max="12298" width="3.5703125" style="409" customWidth="1"/>
    <col min="12299" max="12299" width="0" style="409" hidden="1" customWidth="1"/>
    <col min="12300" max="12542" width="9.140625" style="409"/>
    <col min="12543" max="12543" width="5.5703125" style="409" customWidth="1"/>
    <col min="12544" max="12544" width="3.140625" style="409" customWidth="1"/>
    <col min="12545" max="12546" width="11.85546875" style="409" customWidth="1"/>
    <col min="12547" max="12547" width="9" style="409" customWidth="1"/>
    <col min="12548" max="12548" width="6.28515625" style="409" customWidth="1"/>
    <col min="12549" max="12552" width="5.140625" style="409" customWidth="1"/>
    <col min="12553" max="12553" width="8.5703125" style="409" customWidth="1"/>
    <col min="12554" max="12554" width="3.5703125" style="409" customWidth="1"/>
    <col min="12555" max="12555" width="0" style="409" hidden="1" customWidth="1"/>
    <col min="12556" max="12798" width="9.140625" style="409"/>
    <col min="12799" max="12799" width="5.5703125" style="409" customWidth="1"/>
    <col min="12800" max="12800" width="3.140625" style="409" customWidth="1"/>
    <col min="12801" max="12802" width="11.85546875" style="409" customWidth="1"/>
    <col min="12803" max="12803" width="9" style="409" customWidth="1"/>
    <col min="12804" max="12804" width="6.28515625" style="409" customWidth="1"/>
    <col min="12805" max="12808" width="5.140625" style="409" customWidth="1"/>
    <col min="12809" max="12809" width="8.5703125" style="409" customWidth="1"/>
    <col min="12810" max="12810" width="3.5703125" style="409" customWidth="1"/>
    <col min="12811" max="12811" width="0" style="409" hidden="1" customWidth="1"/>
    <col min="12812" max="13054" width="9.140625" style="409"/>
    <col min="13055" max="13055" width="5.5703125" style="409" customWidth="1"/>
    <col min="13056" max="13056" width="3.140625" style="409" customWidth="1"/>
    <col min="13057" max="13058" width="11.85546875" style="409" customWidth="1"/>
    <col min="13059" max="13059" width="9" style="409" customWidth="1"/>
    <col min="13060" max="13060" width="6.28515625" style="409" customWidth="1"/>
    <col min="13061" max="13064" width="5.140625" style="409" customWidth="1"/>
    <col min="13065" max="13065" width="8.5703125" style="409" customWidth="1"/>
    <col min="13066" max="13066" width="3.5703125" style="409" customWidth="1"/>
    <col min="13067" max="13067" width="0" style="409" hidden="1" customWidth="1"/>
    <col min="13068" max="13310" width="9.140625" style="409"/>
    <col min="13311" max="13311" width="5.5703125" style="409" customWidth="1"/>
    <col min="13312" max="13312" width="3.140625" style="409" customWidth="1"/>
    <col min="13313" max="13314" width="11.85546875" style="409" customWidth="1"/>
    <col min="13315" max="13315" width="9" style="409" customWidth="1"/>
    <col min="13316" max="13316" width="6.28515625" style="409" customWidth="1"/>
    <col min="13317" max="13320" width="5.140625" style="409" customWidth="1"/>
    <col min="13321" max="13321" width="8.5703125" style="409" customWidth="1"/>
    <col min="13322" max="13322" width="3.5703125" style="409" customWidth="1"/>
    <col min="13323" max="13323" width="0" style="409" hidden="1" customWidth="1"/>
    <col min="13324" max="13566" width="9.140625" style="409"/>
    <col min="13567" max="13567" width="5.5703125" style="409" customWidth="1"/>
    <col min="13568" max="13568" width="3.140625" style="409" customWidth="1"/>
    <col min="13569" max="13570" width="11.85546875" style="409" customWidth="1"/>
    <col min="13571" max="13571" width="9" style="409" customWidth="1"/>
    <col min="13572" max="13572" width="6.28515625" style="409" customWidth="1"/>
    <col min="13573" max="13576" width="5.140625" style="409" customWidth="1"/>
    <col min="13577" max="13577" width="8.5703125" style="409" customWidth="1"/>
    <col min="13578" max="13578" width="3.5703125" style="409" customWidth="1"/>
    <col min="13579" max="13579" width="0" style="409" hidden="1" customWidth="1"/>
    <col min="13580" max="13822" width="9.140625" style="409"/>
    <col min="13823" max="13823" width="5.5703125" style="409" customWidth="1"/>
    <col min="13824" max="13824" width="3.140625" style="409" customWidth="1"/>
    <col min="13825" max="13826" width="11.85546875" style="409" customWidth="1"/>
    <col min="13827" max="13827" width="9" style="409" customWidth="1"/>
    <col min="13828" max="13828" width="6.28515625" style="409" customWidth="1"/>
    <col min="13829" max="13832" width="5.140625" style="409" customWidth="1"/>
    <col min="13833" max="13833" width="8.5703125" style="409" customWidth="1"/>
    <col min="13834" max="13834" width="3.5703125" style="409" customWidth="1"/>
    <col min="13835" max="13835" width="0" style="409" hidden="1" customWidth="1"/>
    <col min="13836" max="14078" width="9.140625" style="409"/>
    <col min="14079" max="14079" width="5.5703125" style="409" customWidth="1"/>
    <col min="14080" max="14080" width="3.140625" style="409" customWidth="1"/>
    <col min="14081" max="14082" width="11.85546875" style="409" customWidth="1"/>
    <col min="14083" max="14083" width="9" style="409" customWidth="1"/>
    <col min="14084" max="14084" width="6.28515625" style="409" customWidth="1"/>
    <col min="14085" max="14088" width="5.140625" style="409" customWidth="1"/>
    <col min="14089" max="14089" width="8.5703125" style="409" customWidth="1"/>
    <col min="14090" max="14090" width="3.5703125" style="409" customWidth="1"/>
    <col min="14091" max="14091" width="0" style="409" hidden="1" customWidth="1"/>
    <col min="14092" max="14334" width="9.140625" style="409"/>
    <col min="14335" max="14335" width="5.5703125" style="409" customWidth="1"/>
    <col min="14336" max="14336" width="3.140625" style="409" customWidth="1"/>
    <col min="14337" max="14338" width="11.85546875" style="409" customWidth="1"/>
    <col min="14339" max="14339" width="9" style="409" customWidth="1"/>
    <col min="14340" max="14340" width="6.28515625" style="409" customWidth="1"/>
    <col min="14341" max="14344" width="5.140625" style="409" customWidth="1"/>
    <col min="14345" max="14345" width="8.5703125" style="409" customWidth="1"/>
    <col min="14346" max="14346" width="3.5703125" style="409" customWidth="1"/>
    <col min="14347" max="14347" width="0" style="409" hidden="1" customWidth="1"/>
    <col min="14348" max="14590" width="9.140625" style="409"/>
    <col min="14591" max="14591" width="5.5703125" style="409" customWidth="1"/>
    <col min="14592" max="14592" width="3.140625" style="409" customWidth="1"/>
    <col min="14593" max="14594" width="11.85546875" style="409" customWidth="1"/>
    <col min="14595" max="14595" width="9" style="409" customWidth="1"/>
    <col min="14596" max="14596" width="6.28515625" style="409" customWidth="1"/>
    <col min="14597" max="14600" width="5.140625" style="409" customWidth="1"/>
    <col min="14601" max="14601" width="8.5703125" style="409" customWidth="1"/>
    <col min="14602" max="14602" width="3.5703125" style="409" customWidth="1"/>
    <col min="14603" max="14603" width="0" style="409" hidden="1" customWidth="1"/>
    <col min="14604" max="14846" width="9.140625" style="409"/>
    <col min="14847" max="14847" width="5.5703125" style="409" customWidth="1"/>
    <col min="14848" max="14848" width="3.140625" style="409" customWidth="1"/>
    <col min="14849" max="14850" width="11.85546875" style="409" customWidth="1"/>
    <col min="14851" max="14851" width="9" style="409" customWidth="1"/>
    <col min="14852" max="14852" width="6.28515625" style="409" customWidth="1"/>
    <col min="14853" max="14856" width="5.140625" style="409" customWidth="1"/>
    <col min="14857" max="14857" width="8.5703125" style="409" customWidth="1"/>
    <col min="14858" max="14858" width="3.5703125" style="409" customWidth="1"/>
    <col min="14859" max="14859" width="0" style="409" hidden="1" customWidth="1"/>
    <col min="14860" max="15102" width="9.140625" style="409"/>
    <col min="15103" max="15103" width="5.5703125" style="409" customWidth="1"/>
    <col min="15104" max="15104" width="3.140625" style="409" customWidth="1"/>
    <col min="15105" max="15106" width="11.85546875" style="409" customWidth="1"/>
    <col min="15107" max="15107" width="9" style="409" customWidth="1"/>
    <col min="15108" max="15108" width="6.28515625" style="409" customWidth="1"/>
    <col min="15109" max="15112" width="5.140625" style="409" customWidth="1"/>
    <col min="15113" max="15113" width="8.5703125" style="409" customWidth="1"/>
    <col min="15114" max="15114" width="3.5703125" style="409" customWidth="1"/>
    <col min="15115" max="15115" width="0" style="409" hidden="1" customWidth="1"/>
    <col min="15116" max="15358" width="9.140625" style="409"/>
    <col min="15359" max="15359" width="5.5703125" style="409" customWidth="1"/>
    <col min="15360" max="15360" width="3.140625" style="409" customWidth="1"/>
    <col min="15361" max="15362" width="11.85546875" style="409" customWidth="1"/>
    <col min="15363" max="15363" width="9" style="409" customWidth="1"/>
    <col min="15364" max="15364" width="6.28515625" style="409" customWidth="1"/>
    <col min="15365" max="15368" width="5.140625" style="409" customWidth="1"/>
    <col min="15369" max="15369" width="8.5703125" style="409" customWidth="1"/>
    <col min="15370" max="15370" width="3.5703125" style="409" customWidth="1"/>
    <col min="15371" max="15371" width="0" style="409" hidden="1" customWidth="1"/>
    <col min="15372" max="15614" width="9.140625" style="409"/>
    <col min="15615" max="15615" width="5.5703125" style="409" customWidth="1"/>
    <col min="15616" max="15616" width="3.140625" style="409" customWidth="1"/>
    <col min="15617" max="15618" width="11.85546875" style="409" customWidth="1"/>
    <col min="15619" max="15619" width="9" style="409" customWidth="1"/>
    <col min="15620" max="15620" width="6.28515625" style="409" customWidth="1"/>
    <col min="15621" max="15624" width="5.140625" style="409" customWidth="1"/>
    <col min="15625" max="15625" width="8.5703125" style="409" customWidth="1"/>
    <col min="15626" max="15626" width="3.5703125" style="409" customWidth="1"/>
    <col min="15627" max="15627" width="0" style="409" hidden="1" customWidth="1"/>
    <col min="15628" max="15870" width="9.140625" style="409"/>
    <col min="15871" max="15871" width="5.5703125" style="409" customWidth="1"/>
    <col min="15872" max="15872" width="3.140625" style="409" customWidth="1"/>
    <col min="15873" max="15874" width="11.85546875" style="409" customWidth="1"/>
    <col min="15875" max="15875" width="9" style="409" customWidth="1"/>
    <col min="15876" max="15876" width="6.28515625" style="409" customWidth="1"/>
    <col min="15877" max="15880" width="5.140625" style="409" customWidth="1"/>
    <col min="15881" max="15881" width="8.5703125" style="409" customWidth="1"/>
    <col min="15882" max="15882" width="3.5703125" style="409" customWidth="1"/>
    <col min="15883" max="15883" width="0" style="409" hidden="1" customWidth="1"/>
    <col min="15884" max="16126" width="9.140625" style="409"/>
    <col min="16127" max="16127" width="5.5703125" style="409" customWidth="1"/>
    <col min="16128" max="16128" width="3.140625" style="409" customWidth="1"/>
    <col min="16129" max="16130" width="11.85546875" style="409" customWidth="1"/>
    <col min="16131" max="16131" width="9" style="409" customWidth="1"/>
    <col min="16132" max="16132" width="6.28515625" style="409" customWidth="1"/>
    <col min="16133" max="16136" width="5.140625" style="409" customWidth="1"/>
    <col min="16137" max="16137" width="8.5703125" style="409" customWidth="1"/>
    <col min="16138" max="16138" width="3.5703125" style="409" customWidth="1"/>
    <col min="16139" max="16139" width="0" style="409" hidden="1" customWidth="1"/>
    <col min="16140" max="16384" width="9.140625" style="409"/>
  </cols>
  <sheetData>
    <row r="1" spans="2:13" ht="7.5" customHeight="1"/>
    <row r="2" spans="2:13" ht="21" customHeight="1">
      <c r="B2" s="659" t="s">
        <v>394</v>
      </c>
      <c r="C2" s="659"/>
      <c r="D2" s="659"/>
      <c r="E2" s="659"/>
      <c r="F2" s="659"/>
      <c r="G2" s="659"/>
      <c r="H2" s="659"/>
      <c r="I2" s="659"/>
    </row>
    <row r="3" spans="2:13" ht="15.75" customHeight="1">
      <c r="B3" s="422" t="s">
        <v>397</v>
      </c>
      <c r="C3" s="423"/>
      <c r="D3" s="423"/>
      <c r="E3" s="423"/>
      <c r="F3" s="423"/>
      <c r="G3" s="423"/>
      <c r="H3" s="423"/>
      <c r="I3" s="423"/>
    </row>
    <row r="4" spans="2:13" ht="7.5" customHeight="1">
      <c r="J4" s="410"/>
    </row>
    <row r="5" spans="2:13" ht="21" customHeight="1">
      <c r="B5" s="424" t="s">
        <v>398</v>
      </c>
      <c r="C5" s="673" t="s">
        <v>385</v>
      </c>
      <c r="D5" s="424" t="s">
        <v>396</v>
      </c>
      <c r="E5" s="424" t="s">
        <v>386</v>
      </c>
      <c r="F5" s="424" t="s">
        <v>137</v>
      </c>
      <c r="G5" s="424" t="s">
        <v>387</v>
      </c>
      <c r="H5" s="424" t="s">
        <v>22</v>
      </c>
      <c r="I5" s="425" t="s">
        <v>383</v>
      </c>
      <c r="J5" s="410"/>
      <c r="K5" s="433"/>
      <c r="L5" s="434" t="s">
        <v>384</v>
      </c>
      <c r="M5" s="434"/>
    </row>
    <row r="6" spans="2:13" ht="21" customHeight="1">
      <c r="B6" s="421" t="s">
        <v>382</v>
      </c>
      <c r="C6" s="674"/>
      <c r="D6" s="420">
        <v>2018</v>
      </c>
      <c r="E6" s="420">
        <v>3</v>
      </c>
      <c r="F6" s="420">
        <v>8</v>
      </c>
      <c r="G6" s="420">
        <v>21</v>
      </c>
      <c r="H6" s="420">
        <v>0</v>
      </c>
      <c r="I6" s="420">
        <v>2</v>
      </c>
      <c r="J6" s="410"/>
      <c r="K6" s="433"/>
      <c r="L6" s="435">
        <f>DATE(D6,E6,F6)+TIME(G6,H6,0)-I6/24</f>
        <v>43167.791666666664</v>
      </c>
      <c r="M6" s="434"/>
    </row>
    <row r="7" spans="2:13" ht="21" customHeight="1">
      <c r="J7" s="410"/>
      <c r="K7" s="433"/>
      <c r="L7" s="435"/>
      <c r="M7" s="434"/>
    </row>
    <row r="8" spans="2:13" ht="21" customHeight="1">
      <c r="B8" s="424" t="s">
        <v>389</v>
      </c>
      <c r="C8" s="427"/>
      <c r="D8" s="660" t="s">
        <v>388</v>
      </c>
      <c r="E8" s="661"/>
      <c r="F8" s="664" t="s">
        <v>399</v>
      </c>
      <c r="G8" s="665"/>
      <c r="H8" s="432"/>
      <c r="I8" s="425" t="s">
        <v>383</v>
      </c>
      <c r="J8" s="410"/>
      <c r="K8" s="433"/>
      <c r="L8" s="434"/>
      <c r="M8" s="434"/>
    </row>
    <row r="9" spans="2:13" ht="21" customHeight="1">
      <c r="B9" s="421" t="s">
        <v>390</v>
      </c>
      <c r="C9" s="426"/>
      <c r="D9" s="662">
        <v>633</v>
      </c>
      <c r="E9" s="663"/>
      <c r="F9" s="666">
        <v>0.5</v>
      </c>
      <c r="G9" s="667"/>
      <c r="H9" s="428"/>
      <c r="I9" s="420">
        <v>3</v>
      </c>
      <c r="J9" s="410"/>
      <c r="K9" s="433"/>
      <c r="L9" s="434"/>
      <c r="M9" s="434"/>
    </row>
    <row r="10" spans="2:13" ht="21" customHeight="1">
      <c r="B10" s="415"/>
      <c r="C10" s="415"/>
      <c r="D10" s="413"/>
      <c r="E10" s="413"/>
      <c r="F10" s="414"/>
      <c r="G10" s="412"/>
      <c r="H10" s="416"/>
      <c r="I10" s="430"/>
      <c r="J10" s="410"/>
      <c r="K10" s="433"/>
      <c r="L10" s="436"/>
      <c r="M10" s="434"/>
    </row>
    <row r="11" spans="2:13" ht="21" customHeight="1">
      <c r="B11" s="424" t="s">
        <v>184</v>
      </c>
      <c r="C11" s="675" t="s">
        <v>395</v>
      </c>
      <c r="D11" s="675"/>
      <c r="E11" s="675"/>
      <c r="F11" s="675" t="s">
        <v>194</v>
      </c>
      <c r="G11" s="675"/>
      <c r="H11" s="675"/>
      <c r="I11" s="675"/>
      <c r="J11" s="410"/>
      <c r="K11" s="437"/>
      <c r="L11" s="434"/>
      <c r="M11" s="434"/>
    </row>
    <row r="12" spans="2:13" ht="21" customHeight="1">
      <c r="B12" s="418">
        <f>B13-$F$9</f>
        <v>11</v>
      </c>
      <c r="C12" s="417">
        <f t="shared" ref="C12:C18" si="0">$D$9/B12</f>
        <v>57.545454545454547</v>
      </c>
      <c r="D12" s="657" t="str">
        <f t="shared" ref="D12:D18" si="1">K12</f>
        <v>2 d 09:33</v>
      </c>
      <c r="E12" s="658"/>
      <c r="F12" s="671" t="str">
        <f t="shared" ref="F12:F18" si="2">M12</f>
        <v>Sunday, 11-Mar-2018</v>
      </c>
      <c r="G12" s="672"/>
      <c r="H12" s="672"/>
      <c r="I12" s="431">
        <f t="shared" ref="I12:I18" si="3">$L$6+C12/24+$I$9/24</f>
        <v>43170.314393939392</v>
      </c>
      <c r="J12" s="410"/>
      <c r="K12" s="438" t="str">
        <f t="shared" ref="K12:K18" si="4">CONCATENATE(ROUNDDOWN((C12)/24,0)," d ",TEXT(ROUNDDOWN((C12)-ROUNDDOWN((C12)/24,0)*24,0),"00"),":",TEXT(ROUNDUP((C12-(ROUNDDOWN((C12)/24,0))*24-(ROUNDDOWN((C12)-ROUNDDOWN((C12)/24,0)*24,0)))*60,0),"00"))</f>
        <v>2 d 09:33</v>
      </c>
      <c r="L12" s="434" t="str">
        <f t="shared" ref="L12:L18" si="5">TEXT($L$6+C12/24+$I$9/24,"dddd, dd-mmm-yyyy")</f>
        <v>Sunday, 11-Mar-2018</v>
      </c>
      <c r="M12" s="434" t="str">
        <f>L12</f>
        <v>Sunday, 11-Mar-2018</v>
      </c>
    </row>
    <row r="13" spans="2:13" ht="21" customHeight="1">
      <c r="B13" s="418">
        <f>B14-$F$9</f>
        <v>11.5</v>
      </c>
      <c r="C13" s="417">
        <f t="shared" si="0"/>
        <v>55.043478260869563</v>
      </c>
      <c r="D13" s="657" t="str">
        <f t="shared" si="1"/>
        <v>2 d 07:03</v>
      </c>
      <c r="E13" s="658"/>
      <c r="F13" s="671" t="str">
        <f t="shared" si="2"/>
        <v/>
      </c>
      <c r="G13" s="672"/>
      <c r="H13" s="672"/>
      <c r="I13" s="431">
        <f t="shared" si="3"/>
        <v>43170.210144927536</v>
      </c>
      <c r="J13" s="410"/>
      <c r="K13" s="438" t="str">
        <f t="shared" si="4"/>
        <v>2 d 07:03</v>
      </c>
      <c r="L13" s="434" t="str">
        <f t="shared" si="5"/>
        <v>Sunday, 11-Mar-2018</v>
      </c>
      <c r="M13" s="434" t="str">
        <f t="shared" ref="M13:M18" si="6">IF(L13=L12,"",L13)</f>
        <v/>
      </c>
    </row>
    <row r="14" spans="2:13" ht="21" customHeight="1">
      <c r="B14" s="418">
        <f>B15-$F$9</f>
        <v>12</v>
      </c>
      <c r="C14" s="417">
        <f t="shared" si="0"/>
        <v>52.75</v>
      </c>
      <c r="D14" s="657" t="str">
        <f t="shared" si="1"/>
        <v>2 d 04:45</v>
      </c>
      <c r="E14" s="658"/>
      <c r="F14" s="671" t="str">
        <f t="shared" si="2"/>
        <v/>
      </c>
      <c r="G14" s="672"/>
      <c r="H14" s="672"/>
      <c r="I14" s="431">
        <f t="shared" si="3"/>
        <v>43170.114583333328</v>
      </c>
      <c r="J14" s="410"/>
      <c r="K14" s="438" t="str">
        <f t="shared" si="4"/>
        <v>2 d 04:45</v>
      </c>
      <c r="L14" s="434" t="str">
        <f t="shared" si="5"/>
        <v>Sunday, 11-Mar-2018</v>
      </c>
      <c r="M14" s="434" t="str">
        <f t="shared" si="6"/>
        <v/>
      </c>
    </row>
    <row r="15" spans="2:13" ht="21" customHeight="1">
      <c r="B15" s="419">
        <v>12.5</v>
      </c>
      <c r="C15" s="417">
        <f t="shared" si="0"/>
        <v>50.64</v>
      </c>
      <c r="D15" s="657" t="str">
        <f t="shared" si="1"/>
        <v>2 d 02:39</v>
      </c>
      <c r="E15" s="658"/>
      <c r="F15" s="671" t="str">
        <f t="shared" si="2"/>
        <v/>
      </c>
      <c r="G15" s="672"/>
      <c r="H15" s="672"/>
      <c r="I15" s="431">
        <f t="shared" si="3"/>
        <v>43170.026666666665</v>
      </c>
      <c r="J15" s="410"/>
      <c r="K15" s="438" t="str">
        <f t="shared" si="4"/>
        <v>2 d 02:39</v>
      </c>
      <c r="L15" s="434" t="str">
        <f t="shared" si="5"/>
        <v>Sunday, 11-Mar-2018</v>
      </c>
      <c r="M15" s="434" t="str">
        <f t="shared" si="6"/>
        <v/>
      </c>
    </row>
    <row r="16" spans="2:13" ht="21" customHeight="1">
      <c r="B16" s="418">
        <f>B15+$F$9</f>
        <v>13</v>
      </c>
      <c r="C16" s="417">
        <f t="shared" si="0"/>
        <v>48.692307692307693</v>
      </c>
      <c r="D16" s="657" t="str">
        <f t="shared" si="1"/>
        <v>2 d 00:42</v>
      </c>
      <c r="E16" s="658"/>
      <c r="F16" s="671" t="str">
        <f t="shared" si="2"/>
        <v>Saturday, 10-Mar-2018</v>
      </c>
      <c r="G16" s="672"/>
      <c r="H16" s="672"/>
      <c r="I16" s="431">
        <f t="shared" si="3"/>
        <v>43169.945512820508</v>
      </c>
      <c r="J16" s="410"/>
      <c r="K16" s="438" t="str">
        <f t="shared" si="4"/>
        <v>2 d 00:42</v>
      </c>
      <c r="L16" s="434" t="str">
        <f t="shared" si="5"/>
        <v>Saturday, 10-Mar-2018</v>
      </c>
      <c r="M16" s="434" t="str">
        <f t="shared" si="6"/>
        <v>Saturday, 10-Mar-2018</v>
      </c>
    </row>
    <row r="17" spans="2:13" ht="21" customHeight="1">
      <c r="B17" s="418">
        <f>B16+$F$9</f>
        <v>13.5</v>
      </c>
      <c r="C17" s="417">
        <f t="shared" si="0"/>
        <v>46.888888888888886</v>
      </c>
      <c r="D17" s="657" t="str">
        <f t="shared" si="1"/>
        <v>1 d 22:54</v>
      </c>
      <c r="E17" s="658"/>
      <c r="F17" s="671" t="str">
        <f t="shared" si="2"/>
        <v/>
      </c>
      <c r="G17" s="672"/>
      <c r="H17" s="672"/>
      <c r="I17" s="431">
        <f t="shared" si="3"/>
        <v>43169.870370370365</v>
      </c>
      <c r="J17" s="410"/>
      <c r="K17" s="438" t="str">
        <f t="shared" si="4"/>
        <v>1 d 22:54</v>
      </c>
      <c r="L17" s="434" t="str">
        <f t="shared" si="5"/>
        <v>Saturday, 10-Mar-2018</v>
      </c>
      <c r="M17" s="434" t="str">
        <f t="shared" si="6"/>
        <v/>
      </c>
    </row>
    <row r="18" spans="2:13" ht="21" customHeight="1">
      <c r="B18" s="418">
        <f>B17+$F$9</f>
        <v>14</v>
      </c>
      <c r="C18" s="417">
        <f t="shared" si="0"/>
        <v>45.214285714285715</v>
      </c>
      <c r="D18" s="657" t="str">
        <f t="shared" si="1"/>
        <v>1 d 21:13</v>
      </c>
      <c r="E18" s="658"/>
      <c r="F18" s="671" t="str">
        <f t="shared" si="2"/>
        <v/>
      </c>
      <c r="G18" s="672"/>
      <c r="H18" s="672"/>
      <c r="I18" s="431">
        <f t="shared" si="3"/>
        <v>43169.800595238092</v>
      </c>
      <c r="J18" s="410"/>
      <c r="K18" s="438" t="str">
        <f t="shared" si="4"/>
        <v>1 d 21:13</v>
      </c>
      <c r="L18" s="434" t="str">
        <f t="shared" si="5"/>
        <v>Saturday, 10-Mar-2018</v>
      </c>
      <c r="M18" s="434" t="str">
        <f t="shared" si="6"/>
        <v/>
      </c>
    </row>
    <row r="19" spans="2:13" ht="21" customHeight="1">
      <c r="B19" s="668"/>
      <c r="C19" s="668"/>
      <c r="D19" s="668"/>
      <c r="E19" s="668"/>
      <c r="F19" s="668"/>
      <c r="G19" s="668"/>
      <c r="H19" s="668"/>
      <c r="I19" s="668"/>
      <c r="J19" s="410"/>
      <c r="K19" s="433"/>
      <c r="L19" s="434"/>
      <c r="M19" s="434"/>
    </row>
    <row r="20" spans="2:13" ht="21" customHeight="1">
      <c r="B20" s="669" t="s">
        <v>391</v>
      </c>
      <c r="C20" s="669"/>
      <c r="D20" s="669"/>
      <c r="E20" s="669"/>
      <c r="F20" s="669"/>
      <c r="G20" s="669"/>
      <c r="H20" s="669"/>
      <c r="I20" s="669"/>
      <c r="J20" s="410"/>
      <c r="K20" s="433"/>
      <c r="L20" s="434"/>
      <c r="M20" s="434"/>
    </row>
    <row r="21" spans="2:13" ht="21" customHeight="1">
      <c r="B21" s="424" t="s">
        <v>393</v>
      </c>
      <c r="C21" s="670" t="s">
        <v>392</v>
      </c>
      <c r="D21" s="424" t="s">
        <v>396</v>
      </c>
      <c r="E21" s="424" t="s">
        <v>386</v>
      </c>
      <c r="F21" s="424" t="s">
        <v>137</v>
      </c>
      <c r="G21" s="424" t="s">
        <v>387</v>
      </c>
      <c r="H21" s="424" t="s">
        <v>22</v>
      </c>
      <c r="I21" s="425" t="s">
        <v>383</v>
      </c>
      <c r="J21" s="410"/>
      <c r="K21" s="439"/>
      <c r="L21" s="434"/>
      <c r="M21" s="434"/>
    </row>
    <row r="22" spans="2:13" ht="21" customHeight="1">
      <c r="B22" s="429">
        <f>D9/(L22-L6)/24</f>
        <v>17.583333333333332</v>
      </c>
      <c r="C22" s="670"/>
      <c r="D22" s="420">
        <v>2018</v>
      </c>
      <c r="E22" s="420">
        <v>3</v>
      </c>
      <c r="F22" s="420">
        <v>10</v>
      </c>
      <c r="G22" s="420">
        <v>10</v>
      </c>
      <c r="H22" s="420">
        <v>0</v>
      </c>
      <c r="I22" s="420">
        <v>3</v>
      </c>
      <c r="J22" s="410"/>
      <c r="K22" s="433"/>
      <c r="L22" s="435">
        <f>DATE(D22,E22,F22)+TIME(G22,H22,0)-I22/24</f>
        <v>43169.291666666664</v>
      </c>
      <c r="M22" s="434"/>
    </row>
  </sheetData>
  <sheetProtection sheet="1" objects="1" scenarios="1"/>
  <mergeCells count="25">
    <mergeCell ref="B19:I19"/>
    <mergeCell ref="B20:I20"/>
    <mergeCell ref="C21:C22"/>
    <mergeCell ref="F18:H18"/>
    <mergeCell ref="C5:C6"/>
    <mergeCell ref="F12:H12"/>
    <mergeCell ref="F13:H13"/>
    <mergeCell ref="F11:I11"/>
    <mergeCell ref="C11:E11"/>
    <mergeCell ref="D13:E13"/>
    <mergeCell ref="D12:E12"/>
    <mergeCell ref="F14:H14"/>
    <mergeCell ref="F15:H15"/>
    <mergeCell ref="F16:H16"/>
    <mergeCell ref="F17:H17"/>
    <mergeCell ref="D14:E14"/>
    <mergeCell ref="D15:E15"/>
    <mergeCell ref="D16:E16"/>
    <mergeCell ref="D17:E17"/>
    <mergeCell ref="D18:E18"/>
    <mergeCell ref="B2:I2"/>
    <mergeCell ref="D8:E8"/>
    <mergeCell ref="D9:E9"/>
    <mergeCell ref="F8:G8"/>
    <mergeCell ref="F9:G9"/>
  </mergeCells>
  <conditionalFormatting sqref="I12:I18">
    <cfRule type="cellIs" dxfId="1" priority="1" stopIfTrue="1" operator="equal">
      <formula>"(SUN)"</formula>
    </cfRule>
    <cfRule type="cellIs" dxfId="0" priority="2" stopIfTrue="1" operator="equal">
      <formula>"(SAT)"</formula>
    </cfRule>
  </conditionalFormatting>
  <printOptions horizontalCentered="1"/>
  <pageMargins left="0.5" right="0.5" top="0.5" bottom="0.5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O25"/>
  <sheetViews>
    <sheetView showGridLines="0" showRowColHeaders="0" tabSelected="1" zoomScaleNormal="100" workbookViewId="0">
      <selection activeCell="C5" sqref="C5"/>
    </sheetView>
  </sheetViews>
  <sheetFormatPr defaultRowHeight="19.5" customHeight="1"/>
  <cols>
    <col min="1" max="1" width="8.5703125" style="144" customWidth="1"/>
    <col min="2" max="2" width="25" style="144" customWidth="1"/>
    <col min="3" max="3" width="23.5703125" style="144" customWidth="1"/>
    <col min="4" max="4" width="10" style="144" customWidth="1"/>
    <col min="5" max="5" width="4.140625" style="144" customWidth="1"/>
    <col min="6" max="6" width="3.7109375" style="144" customWidth="1"/>
    <col min="7" max="7" width="20.7109375" style="144" customWidth="1"/>
    <col min="8" max="8" width="21.42578125" style="144" customWidth="1"/>
    <col min="9" max="9" width="10.85546875" style="144" customWidth="1"/>
    <col min="10" max="13" width="11.28515625" style="144" customWidth="1"/>
    <col min="14" max="14" width="3.7109375" style="144" customWidth="1"/>
    <col min="15" max="16384" width="9.140625" style="144"/>
  </cols>
  <sheetData>
    <row r="1" spans="1:15" ht="19.5" customHeight="1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5" ht="19.5" customHeight="1">
      <c r="A2" s="179"/>
      <c r="B2" s="166" t="s">
        <v>172</v>
      </c>
      <c r="C2" s="459"/>
      <c r="D2" s="167" t="s">
        <v>173</v>
      </c>
      <c r="E2" s="179"/>
      <c r="F2" s="156"/>
      <c r="G2" s="163"/>
      <c r="H2" s="163"/>
      <c r="I2" s="163"/>
      <c r="J2" s="163"/>
      <c r="K2" s="163"/>
      <c r="L2" s="163"/>
      <c r="M2" s="163"/>
      <c r="N2" s="161"/>
      <c r="O2" s="179"/>
    </row>
    <row r="3" spans="1:15" ht="19.5" customHeight="1">
      <c r="A3" s="179"/>
      <c r="B3" s="166" t="s">
        <v>171</v>
      </c>
      <c r="C3" s="458" t="s">
        <v>175</v>
      </c>
      <c r="D3" s="460">
        <v>13</v>
      </c>
      <c r="E3" s="179"/>
      <c r="F3" s="157"/>
      <c r="G3" s="181" t="str">
        <f>CONCATENATE("Ver. ",C3)</f>
        <v>Ver. 07/18-1.9</v>
      </c>
      <c r="H3" s="407">
        <f ca="1">IF(C2="",TODAY(),C2)</f>
        <v>45641</v>
      </c>
      <c r="I3" s="152"/>
      <c r="J3" s="152"/>
      <c r="K3" s="152"/>
      <c r="L3" s="152"/>
      <c r="M3" s="152"/>
      <c r="N3" s="162"/>
      <c r="O3" s="179"/>
    </row>
    <row r="4" spans="1:15" ht="19.5" customHeight="1">
      <c r="A4" s="179"/>
      <c r="B4" s="179"/>
      <c r="C4" s="179"/>
      <c r="D4" s="179"/>
      <c r="E4" s="179"/>
      <c r="F4" s="157"/>
      <c r="G4" s="153"/>
      <c r="H4" s="153"/>
      <c r="I4" s="182" t="s">
        <v>154</v>
      </c>
      <c r="J4" s="164">
        <f>K4-0.5</f>
        <v>11.5</v>
      </c>
      <c r="K4" s="164">
        <f>L4-0.5</f>
        <v>12</v>
      </c>
      <c r="L4" s="164">
        <f>M4-0.5</f>
        <v>12.5</v>
      </c>
      <c r="M4" s="165">
        <f>D3</f>
        <v>13</v>
      </c>
      <c r="N4" s="162"/>
      <c r="O4" s="179"/>
    </row>
    <row r="5" spans="1:15" ht="19.5" customHeight="1">
      <c r="A5" s="179"/>
      <c r="B5" s="457" t="s">
        <v>155</v>
      </c>
      <c r="C5" s="457" t="s">
        <v>156</v>
      </c>
      <c r="D5" s="458">
        <v>2458.1999999999998</v>
      </c>
      <c r="E5" s="179"/>
      <c r="F5" s="157"/>
      <c r="G5" s="676" t="str">
        <f>CONCATENATE(B5," ",C5)</f>
        <v>Djibouti - Mombasa (berth to berth)</v>
      </c>
      <c r="H5" s="677"/>
      <c r="I5" s="145">
        <f>D5</f>
        <v>2458.1999999999998</v>
      </c>
      <c r="J5" s="146" t="str">
        <f>CONCATENATE(ROUNDDOWN(($I5/J$4)/24,0)," d ",TEXT(ROUNDDOWN(($I5/J$4)-ROUNDDOWN(($I5/J$4)/24,0)*24,0),"00"),":",TEXT(ROUNDUP(($I5/J$4-(ROUNDDOWN(($I5/J$4)/24,0))*24-(ROUNDDOWN(($I5/J$4)-ROUNDDOWN(($I5/J$4)/24,0)*24,0)))*60,0),"00"))</f>
        <v>8 d 21:46</v>
      </c>
      <c r="K5" s="147" t="str">
        <f t="shared" ref="J5:M9" si="0">CONCATENATE(ROUNDDOWN(($I5/K$4)/24,0)," d ",TEXT(ROUNDDOWN(($I5/K$4)-ROUNDDOWN(($I5/K$4)/24,0)*24,0),"00"),":",TEXT(ROUNDUP(($I5/K$4-(ROUNDDOWN(($I5/K$4)/24,0))*24-(ROUNDDOWN(($I5/K$4)-ROUNDDOWN(($I5/K$4)/24,0)*24,0)))*60,0),"00"))</f>
        <v>8 d 12:51</v>
      </c>
      <c r="L5" s="146" t="str">
        <f t="shared" si="0"/>
        <v>8 d 04:40</v>
      </c>
      <c r="M5" s="147" t="str">
        <f>CONCATENATE(ROUNDDOWN(($I5/M$4)/24,0)," d ",TEXT(ROUNDDOWN(($I5/M$4)-ROUNDDOWN(($I5/M$4)/24,0)*24,0),"00"),":",TEXT(ROUNDUP(($I5/M$4-(ROUNDDOWN(($I5/M$4)/24,0))*24-(ROUNDDOWN(($I5/M$4)-ROUNDDOWN(($I5/M$4)/24,0)*24,0)))*60,0),"00"))</f>
        <v>7 d 21:06</v>
      </c>
      <c r="N5" s="162"/>
      <c r="O5" s="179"/>
    </row>
    <row r="6" spans="1:15" ht="19.5" customHeight="1">
      <c r="A6" s="179"/>
      <c r="B6" s="457" t="s">
        <v>157</v>
      </c>
      <c r="C6" s="457" t="s">
        <v>158</v>
      </c>
      <c r="D6" s="458">
        <v>2449</v>
      </c>
      <c r="E6" s="179"/>
      <c r="F6" s="157"/>
      <c r="G6" s="676" t="str">
        <f t="shared" ref="G6:G9" si="1">CONCATENATE(B6," - ",C6)</f>
        <v>Djibouti pilot station - Mombasa pilot station</v>
      </c>
      <c r="H6" s="677"/>
      <c r="I6" s="145">
        <f t="shared" ref="I6:I18" si="2">D6</f>
        <v>2449</v>
      </c>
      <c r="J6" s="146" t="str">
        <f t="shared" si="0"/>
        <v>8 d 20:58</v>
      </c>
      <c r="K6" s="147" t="str">
        <f t="shared" si="0"/>
        <v>8 d 12:06</v>
      </c>
      <c r="L6" s="146" t="str">
        <f t="shared" si="0"/>
        <v>8 d 03:56</v>
      </c>
      <c r="M6" s="147" t="str">
        <f t="shared" si="0"/>
        <v>7 d 20:24</v>
      </c>
      <c r="N6" s="162"/>
      <c r="O6" s="179"/>
    </row>
    <row r="7" spans="1:15" ht="19.5" customHeight="1">
      <c r="A7" s="179"/>
      <c r="B7" s="457" t="s">
        <v>159</v>
      </c>
      <c r="C7" s="457" t="s">
        <v>160</v>
      </c>
      <c r="D7" s="458">
        <f>859.3-611.3</f>
        <v>248</v>
      </c>
      <c r="E7" s="179"/>
      <c r="F7" s="157"/>
      <c r="G7" s="676" t="str">
        <f t="shared" si="1"/>
        <v>Exit IRTC - Enter HRA</v>
      </c>
      <c r="H7" s="677"/>
      <c r="I7" s="145">
        <f t="shared" si="2"/>
        <v>248</v>
      </c>
      <c r="J7" s="146" t="str">
        <f t="shared" si="0"/>
        <v>0 d 21:34</v>
      </c>
      <c r="K7" s="147" t="str">
        <f t="shared" si="0"/>
        <v>0 d 20:41</v>
      </c>
      <c r="L7" s="146" t="str">
        <f t="shared" si="0"/>
        <v>0 d 19:51</v>
      </c>
      <c r="M7" s="147" t="str">
        <f t="shared" si="0"/>
        <v>0 d 19:05</v>
      </c>
      <c r="N7" s="162"/>
      <c r="O7" s="179"/>
    </row>
    <row r="8" spans="1:15" ht="19.5" customHeight="1">
      <c r="A8" s="179"/>
      <c r="B8" s="457" t="s">
        <v>160</v>
      </c>
      <c r="C8" s="457" t="s">
        <v>161</v>
      </c>
      <c r="D8" s="458">
        <f>1829.9-859.3</f>
        <v>970.60000000000014</v>
      </c>
      <c r="E8" s="179"/>
      <c r="F8" s="157"/>
      <c r="G8" s="676" t="str">
        <f t="shared" si="1"/>
        <v>Enter HRA - Exit HRA</v>
      </c>
      <c r="H8" s="677"/>
      <c r="I8" s="145">
        <f t="shared" si="2"/>
        <v>970.60000000000014</v>
      </c>
      <c r="J8" s="146" t="str">
        <f t="shared" si="0"/>
        <v>3 d 12:25</v>
      </c>
      <c r="K8" s="147" t="str">
        <f t="shared" si="0"/>
        <v>3 d 08:54</v>
      </c>
      <c r="L8" s="146" t="str">
        <f t="shared" si="0"/>
        <v>3 d 05:39</v>
      </c>
      <c r="M8" s="147" t="str">
        <f t="shared" si="0"/>
        <v>3 d 02:40</v>
      </c>
      <c r="N8" s="162"/>
      <c r="O8" s="179"/>
    </row>
    <row r="9" spans="1:15" ht="19.5" customHeight="1">
      <c r="A9" s="179"/>
      <c r="B9" s="457" t="s">
        <v>161</v>
      </c>
      <c r="C9" s="457" t="s">
        <v>158</v>
      </c>
      <c r="D9" s="458">
        <f>2449.5-1829.9</f>
        <v>619.59999999999991</v>
      </c>
      <c r="E9" s="179"/>
      <c r="F9" s="157"/>
      <c r="G9" s="676" t="str">
        <f t="shared" si="1"/>
        <v>Exit HRA - Mombasa pilot station</v>
      </c>
      <c r="H9" s="677"/>
      <c r="I9" s="145">
        <f t="shared" si="2"/>
        <v>619.59999999999991</v>
      </c>
      <c r="J9" s="146" t="str">
        <f t="shared" si="0"/>
        <v>2 d 05:53</v>
      </c>
      <c r="K9" s="147" t="str">
        <f t="shared" si="0"/>
        <v>2 d 03:38</v>
      </c>
      <c r="L9" s="146" t="str">
        <f t="shared" si="0"/>
        <v>2 d 01:35</v>
      </c>
      <c r="M9" s="147" t="str">
        <f t="shared" si="0"/>
        <v>1 d 23:40</v>
      </c>
      <c r="N9" s="162"/>
      <c r="O9" s="179"/>
    </row>
    <row r="10" spans="1:15" ht="19.5" customHeight="1">
      <c r="A10" s="179"/>
      <c r="B10" s="180"/>
      <c r="C10" s="180"/>
      <c r="D10" s="180"/>
      <c r="E10" s="179"/>
      <c r="F10" s="157"/>
      <c r="G10" s="152"/>
      <c r="H10" s="152"/>
      <c r="I10" s="152"/>
      <c r="J10" s="154"/>
      <c r="K10" s="155"/>
      <c r="L10" s="154"/>
      <c r="M10" s="155"/>
      <c r="N10" s="162"/>
      <c r="O10" s="179"/>
    </row>
    <row r="11" spans="1:15" ht="19.5" customHeight="1">
      <c r="A11" s="179"/>
      <c r="B11" s="457" t="s">
        <v>162</v>
      </c>
      <c r="C11" s="457"/>
      <c r="D11" s="458">
        <v>216.25</v>
      </c>
      <c r="E11" s="179"/>
      <c r="F11" s="157"/>
      <c r="G11" s="676" t="str">
        <f>CONCATENATE(B11," ",C11)</f>
        <v xml:space="preserve">Mombasa - Dar es Salam </v>
      </c>
      <c r="H11" s="677"/>
      <c r="I11" s="145">
        <f t="shared" si="2"/>
        <v>216.25</v>
      </c>
      <c r="J11" s="146" t="str">
        <f t="shared" ref="J11:M12" si="3">CONCATENATE(ROUNDDOWN(($I11/J$4)/24,0)," d ",TEXT(ROUNDDOWN(($I11/J$4)-ROUNDDOWN(($I11/J$4)/24,0)*24,0),"00"),":",TEXT(ROUNDUP(($I11/J$4-(ROUNDDOWN(($I11/J$4)/24,0))*24-(ROUNDDOWN(($I11/J$4)-ROUNDDOWN(($I11/J$4)/24,0)*24,0)))*60,0),"00"))</f>
        <v>0 d 18:49</v>
      </c>
      <c r="K11" s="147" t="str">
        <f t="shared" si="3"/>
        <v>0 d 18:02</v>
      </c>
      <c r="L11" s="146" t="str">
        <f t="shared" si="3"/>
        <v>0 d 17:18</v>
      </c>
      <c r="M11" s="147" t="str">
        <f t="shared" si="3"/>
        <v>0 d 16:39</v>
      </c>
      <c r="N11" s="162"/>
      <c r="O11" s="179"/>
    </row>
    <row r="12" spans="1:15" ht="19.5" customHeight="1">
      <c r="A12" s="179"/>
      <c r="B12" s="457" t="s">
        <v>158</v>
      </c>
      <c r="C12" s="457" t="s">
        <v>163</v>
      </c>
      <c r="D12" s="458">
        <f>D11-4.7-8.1</f>
        <v>203.45000000000002</v>
      </c>
      <c r="E12" s="179"/>
      <c r="F12" s="157"/>
      <c r="G12" s="676" t="str">
        <f t="shared" ref="G12" si="4">CONCATENATE(B12," - ",C12)</f>
        <v>Mombasa pilot station - Dar es Salam pilot station</v>
      </c>
      <c r="H12" s="677"/>
      <c r="I12" s="145">
        <f t="shared" si="2"/>
        <v>203.45000000000002</v>
      </c>
      <c r="J12" s="146" t="str">
        <f t="shared" si="3"/>
        <v>0 d 17:42</v>
      </c>
      <c r="K12" s="147" t="str">
        <f t="shared" si="3"/>
        <v>0 d 16:58</v>
      </c>
      <c r="L12" s="146" t="str">
        <f t="shared" si="3"/>
        <v>0 d 16:17</v>
      </c>
      <c r="M12" s="147" t="str">
        <f t="shared" si="3"/>
        <v>0 d 15:40</v>
      </c>
      <c r="N12" s="162"/>
      <c r="O12" s="179"/>
    </row>
    <row r="13" spans="1:15" ht="19.5" customHeight="1">
      <c r="A13" s="179"/>
      <c r="B13" s="180"/>
      <c r="C13" s="180"/>
      <c r="D13" s="180"/>
      <c r="E13" s="179"/>
      <c r="F13" s="157"/>
      <c r="G13" s="148"/>
      <c r="H13" s="148"/>
      <c r="I13" s="149"/>
      <c r="J13" s="150"/>
      <c r="K13" s="151"/>
      <c r="L13" s="150"/>
      <c r="M13" s="151"/>
      <c r="N13" s="162"/>
      <c r="O13" s="179"/>
    </row>
    <row r="14" spans="1:15" ht="19.5" customHeight="1">
      <c r="A14" s="179"/>
      <c r="B14" s="457" t="s">
        <v>164</v>
      </c>
      <c r="C14" s="457"/>
      <c r="D14" s="458">
        <v>1703.4</v>
      </c>
      <c r="E14" s="179"/>
      <c r="F14" s="157"/>
      <c r="G14" s="676" t="str">
        <f>CONCATENATE(B14," ",C14)</f>
        <v xml:space="preserve">Dar es Salam - Durban </v>
      </c>
      <c r="H14" s="677"/>
      <c r="I14" s="145">
        <f t="shared" si="2"/>
        <v>1703.4</v>
      </c>
      <c r="J14" s="146" t="str">
        <f t="shared" ref="J14:M21" si="5">CONCATENATE(ROUNDDOWN(($I14/J$4)/24,0)," d ",TEXT(ROUNDDOWN(($I14/J$4)-ROUNDDOWN(($I14/J$4)/24,0)*24,0),"00"),":",TEXT(ROUNDUP(($I14/J$4-(ROUNDDOWN(($I14/J$4)/24,0))*24-(ROUNDDOWN(($I14/J$4)-ROUNDDOWN(($I14/J$4)/24,0)*24,0)))*60,0),"00"))</f>
        <v>6 d 04:08</v>
      </c>
      <c r="K14" s="147" t="str">
        <f t="shared" si="5"/>
        <v>5 d 21:58</v>
      </c>
      <c r="L14" s="146" t="str">
        <f t="shared" si="5"/>
        <v>5 d 16:17</v>
      </c>
      <c r="M14" s="147" t="str">
        <f t="shared" si="5"/>
        <v>5 d 11:02</v>
      </c>
      <c r="N14" s="162"/>
      <c r="O14" s="179"/>
    </row>
    <row r="15" spans="1:15" ht="19.5" customHeight="1">
      <c r="A15" s="179"/>
      <c r="B15" s="457" t="s">
        <v>163</v>
      </c>
      <c r="C15" s="457" t="s">
        <v>165</v>
      </c>
      <c r="D15" s="458">
        <f>D14-4.5</f>
        <v>1698.9</v>
      </c>
      <c r="E15" s="179"/>
      <c r="F15" s="157"/>
      <c r="G15" s="676" t="str">
        <f>CONCATENATE(B15," - ",C15)</f>
        <v>Dar es Salam pilot station - Durban</v>
      </c>
      <c r="H15" s="677"/>
      <c r="I15" s="145">
        <f t="shared" si="2"/>
        <v>1698.9</v>
      </c>
      <c r="J15" s="146" t="str">
        <f t="shared" si="5"/>
        <v>6 d 03:44</v>
      </c>
      <c r="K15" s="147" t="str">
        <f t="shared" si="5"/>
        <v>5 d 21:35</v>
      </c>
      <c r="L15" s="146" t="str">
        <f t="shared" si="5"/>
        <v>5 d 15:55</v>
      </c>
      <c r="M15" s="147" t="str">
        <f t="shared" si="5"/>
        <v>5 d 10:42</v>
      </c>
      <c r="N15" s="162"/>
      <c r="O15" s="179"/>
    </row>
    <row r="16" spans="1:15" ht="19.5" customHeight="1">
      <c r="A16" s="179"/>
      <c r="B16" s="457" t="s">
        <v>166</v>
      </c>
      <c r="C16" s="457" t="s">
        <v>167</v>
      </c>
      <c r="D16" s="458">
        <v>288.89999999999998</v>
      </c>
      <c r="E16" s="179"/>
      <c r="F16" s="157"/>
      <c r="G16" s="676" t="str">
        <f>CONCATENATE(B16," - ",C16)</f>
        <v>Dar es Salam - 10˚00 S</v>
      </c>
      <c r="H16" s="677"/>
      <c r="I16" s="145">
        <f t="shared" si="2"/>
        <v>288.89999999999998</v>
      </c>
      <c r="J16" s="146" t="str">
        <f t="shared" si="5"/>
        <v>1 d 01:08</v>
      </c>
      <c r="K16" s="147" t="str">
        <f t="shared" si="5"/>
        <v>1 d 00:05</v>
      </c>
      <c r="L16" s="146" t="str">
        <f t="shared" si="5"/>
        <v>0 d 23:07</v>
      </c>
      <c r="M16" s="147" t="str">
        <f t="shared" si="5"/>
        <v>0 d 22:14</v>
      </c>
      <c r="N16" s="162"/>
      <c r="O16" s="179"/>
    </row>
    <row r="17" spans="1:15" ht="19.5" customHeight="1">
      <c r="A17" s="179"/>
      <c r="B17" s="457" t="s">
        <v>166</v>
      </c>
      <c r="C17" s="457" t="s">
        <v>168</v>
      </c>
      <c r="D17" s="458">
        <v>407.4</v>
      </c>
      <c r="E17" s="179"/>
      <c r="F17" s="157"/>
      <c r="G17" s="676" t="str">
        <f>CONCATENATE(B17," - ",C17)</f>
        <v>Dar es Salam - Moroni</v>
      </c>
      <c r="H17" s="677"/>
      <c r="I17" s="145">
        <f t="shared" si="2"/>
        <v>407.4</v>
      </c>
      <c r="J17" s="146" t="str">
        <f t="shared" si="5"/>
        <v>1 d 11:26</v>
      </c>
      <c r="K17" s="147" t="str">
        <f t="shared" si="5"/>
        <v>1 d 09:57</v>
      </c>
      <c r="L17" s="146" t="str">
        <f t="shared" si="5"/>
        <v>1 d 08:36</v>
      </c>
      <c r="M17" s="147" t="str">
        <f t="shared" si="5"/>
        <v>1 d 07:21</v>
      </c>
      <c r="N17" s="162"/>
      <c r="O17" s="179"/>
    </row>
    <row r="18" spans="1:15" ht="19.5" customHeight="1">
      <c r="A18" s="179"/>
      <c r="B18" s="457" t="s">
        <v>168</v>
      </c>
      <c r="C18" s="457" t="s">
        <v>165</v>
      </c>
      <c r="D18" s="458">
        <f>D14-D17</f>
        <v>1296</v>
      </c>
      <c r="E18" s="179"/>
      <c r="F18" s="157"/>
      <c r="G18" s="676" t="str">
        <f>CONCATENATE(B18," - ",C18)</f>
        <v>Moroni - Durban</v>
      </c>
      <c r="H18" s="677"/>
      <c r="I18" s="145">
        <f t="shared" si="2"/>
        <v>1296</v>
      </c>
      <c r="J18" s="146" t="str">
        <f t="shared" si="5"/>
        <v>4 d 16:42</v>
      </c>
      <c r="K18" s="147" t="str">
        <f t="shared" si="5"/>
        <v>4 d 12:00</v>
      </c>
      <c r="L18" s="146" t="str">
        <f t="shared" si="5"/>
        <v>4 d 07:41</v>
      </c>
      <c r="M18" s="147" t="str">
        <f t="shared" si="5"/>
        <v>4 d 03:42</v>
      </c>
      <c r="N18" s="162"/>
      <c r="O18" s="179"/>
    </row>
    <row r="19" spans="1:15" ht="19.5" customHeight="1">
      <c r="A19" s="179"/>
      <c r="B19" s="180"/>
      <c r="C19" s="180"/>
      <c r="D19" s="180"/>
      <c r="E19" s="179"/>
      <c r="F19" s="157"/>
      <c r="G19" s="148"/>
      <c r="H19" s="148"/>
      <c r="I19" s="149"/>
      <c r="J19" s="150"/>
      <c r="K19" s="151"/>
      <c r="L19" s="150"/>
      <c r="M19" s="151"/>
      <c r="N19" s="162"/>
      <c r="O19" s="179"/>
    </row>
    <row r="20" spans="1:15" ht="19.5" customHeight="1">
      <c r="A20" s="179"/>
      <c r="B20" s="180"/>
      <c r="C20" s="180"/>
      <c r="D20" s="180"/>
      <c r="E20" s="179"/>
      <c r="F20" s="157"/>
      <c r="G20" s="148"/>
      <c r="H20" s="148"/>
      <c r="I20" s="149"/>
      <c r="J20" s="150"/>
      <c r="K20" s="151"/>
      <c r="L20" s="150"/>
      <c r="M20" s="151"/>
      <c r="N20" s="162"/>
      <c r="O20" s="179"/>
    </row>
    <row r="21" spans="1:15" ht="19.5" customHeight="1">
      <c r="A21" s="179"/>
      <c r="B21" s="457" t="s">
        <v>169</v>
      </c>
      <c r="C21" s="457"/>
      <c r="D21" s="458">
        <f>D8</f>
        <v>970.60000000000014</v>
      </c>
      <c r="E21" s="179"/>
      <c r="F21" s="157"/>
      <c r="G21" s="676" t="str">
        <f>CONCATENATE(B21," ",C21)</f>
        <v xml:space="preserve">HRA </v>
      </c>
      <c r="H21" s="677"/>
      <c r="I21" s="145">
        <f t="shared" ref="I21" si="6">D21</f>
        <v>970.60000000000014</v>
      </c>
      <c r="J21" s="146" t="str">
        <f t="shared" si="5"/>
        <v>3 d 12:25</v>
      </c>
      <c r="K21" s="147" t="str">
        <f t="shared" si="5"/>
        <v>3 d 08:54</v>
      </c>
      <c r="L21" s="146" t="str">
        <f t="shared" si="5"/>
        <v>3 d 05:39</v>
      </c>
      <c r="M21" s="147" t="str">
        <f t="shared" si="5"/>
        <v>3 d 02:40</v>
      </c>
      <c r="N21" s="162"/>
      <c r="O21" s="179"/>
    </row>
    <row r="22" spans="1:15" ht="19.5" customHeight="1">
      <c r="A22" s="179"/>
      <c r="B22" s="180"/>
      <c r="C22" s="180"/>
      <c r="D22" s="180"/>
      <c r="E22" s="179"/>
      <c r="F22" s="157"/>
      <c r="G22" s="148"/>
      <c r="H22" s="148"/>
      <c r="I22" s="149"/>
      <c r="J22" s="150"/>
      <c r="K22" s="151"/>
      <c r="L22" s="150"/>
      <c r="M22" s="151"/>
      <c r="N22" s="162"/>
      <c r="O22" s="179"/>
    </row>
    <row r="23" spans="1:15" ht="19.5" customHeight="1">
      <c r="A23" s="179"/>
      <c r="B23" s="457" t="s">
        <v>99</v>
      </c>
      <c r="C23" s="457" t="s">
        <v>170</v>
      </c>
      <c r="D23" s="458">
        <f>D5+D11+D14</f>
        <v>4377.8500000000004</v>
      </c>
      <c r="E23" s="179"/>
      <c r="F23" s="157"/>
      <c r="G23" s="676" t="str">
        <f>CONCATENATE(B23," ",C23)</f>
        <v>TOTAL (Djibouti - Durban)</v>
      </c>
      <c r="H23" s="677"/>
      <c r="I23" s="145">
        <f t="shared" ref="I23" si="7">D23</f>
        <v>4377.8500000000004</v>
      </c>
      <c r="J23" s="146" t="str">
        <f t="shared" ref="J23:M23" si="8">CONCATENATE(ROUNDDOWN(($I23/J$4)/24,0)," d ",TEXT(ROUNDDOWN(($I23/J$4)-ROUNDDOWN(($I23/J$4)/24,0)*24,0),"00"),":",TEXT(ROUNDUP(($I23/J$4-(ROUNDDOWN(($I23/J$4)/24,0))*24-(ROUNDDOWN(($I23/J$4)-ROUNDDOWN(($I23/J$4)/24,0)*24,0)))*60,0),"00"))</f>
        <v>15 d 20:41</v>
      </c>
      <c r="K23" s="147" t="str">
        <f t="shared" si="8"/>
        <v>15 d 04:50</v>
      </c>
      <c r="L23" s="146" t="str">
        <f t="shared" si="8"/>
        <v>14 d 14:14</v>
      </c>
      <c r="M23" s="147" t="str">
        <f t="shared" si="8"/>
        <v>14 d 00:46</v>
      </c>
      <c r="N23" s="162"/>
      <c r="O23" s="179"/>
    </row>
    <row r="24" spans="1:15" ht="19.5" customHeight="1">
      <c r="A24" s="179"/>
      <c r="B24" s="179"/>
      <c r="C24" s="179"/>
      <c r="D24" s="179"/>
      <c r="E24" s="179"/>
      <c r="F24" s="158"/>
      <c r="G24" s="159"/>
      <c r="H24" s="159"/>
      <c r="I24" s="159"/>
      <c r="J24" s="159"/>
      <c r="K24" s="159"/>
      <c r="L24" s="159"/>
      <c r="M24" s="159"/>
      <c r="N24" s="160"/>
      <c r="O24" s="179"/>
    </row>
    <row r="25" spans="1:15" ht="19.5" customHeight="1">
      <c r="A25" s="179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</row>
  </sheetData>
  <sheetProtection sheet="1" objects="1" scenarios="1"/>
  <mergeCells count="14">
    <mergeCell ref="G11:H11"/>
    <mergeCell ref="G5:H5"/>
    <mergeCell ref="G6:H6"/>
    <mergeCell ref="G7:H7"/>
    <mergeCell ref="G8:H8"/>
    <mergeCell ref="G9:H9"/>
    <mergeCell ref="G21:H21"/>
    <mergeCell ref="G23:H23"/>
    <mergeCell ref="G12:H12"/>
    <mergeCell ref="G14:H14"/>
    <mergeCell ref="G15:H15"/>
    <mergeCell ref="G16:H16"/>
    <mergeCell ref="G17:H17"/>
    <mergeCell ref="G18:H18"/>
  </mergeCells>
  <printOptions horizontalCentered="1"/>
  <pageMargins left="0.25" right="0.25" top="0.25" bottom="0.25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B1:AO20"/>
  <sheetViews>
    <sheetView showGridLines="0" showRowColHeaders="0" zoomScale="80" zoomScaleNormal="80" workbookViewId="0">
      <selection activeCell="T20" sqref="T20"/>
    </sheetView>
  </sheetViews>
  <sheetFormatPr defaultRowHeight="12.75"/>
  <cols>
    <col min="1" max="1" width="2.85546875" style="183" customWidth="1"/>
    <col min="2" max="2" width="2.28515625" style="183" customWidth="1"/>
    <col min="3" max="3" width="15.85546875" style="183" customWidth="1"/>
    <col min="4" max="4" width="10.42578125" style="183" customWidth="1"/>
    <col min="5" max="6" width="10.140625" style="183" customWidth="1"/>
    <col min="7" max="7" width="6.42578125" style="183" customWidth="1"/>
    <col min="8" max="9" width="6.5703125" style="183" customWidth="1"/>
    <col min="10" max="11" width="4.7109375" style="183" customWidth="1"/>
    <col min="12" max="15" width="4.140625" style="183" customWidth="1"/>
    <col min="16" max="16" width="7.140625" style="183" customWidth="1"/>
    <col min="17" max="18" width="5.28515625" style="183" customWidth="1"/>
    <col min="19" max="22" width="4.28515625" style="183" customWidth="1"/>
    <col min="23" max="34" width="7.140625" style="183" customWidth="1"/>
    <col min="35" max="35" width="8.7109375" style="183" customWidth="1"/>
    <col min="36" max="36" width="7.7109375" style="183" customWidth="1"/>
    <col min="37" max="37" width="10.140625" style="183" customWidth="1"/>
    <col min="38" max="38" width="11.5703125" style="183" customWidth="1"/>
    <col min="39" max="39" width="10.7109375" style="183" customWidth="1"/>
    <col min="40" max="40" width="11.85546875" style="183" customWidth="1"/>
    <col min="41" max="42" width="10" style="183" customWidth="1"/>
    <col min="43" max="43" width="12.42578125" style="183" customWidth="1"/>
    <col min="44" max="45" width="10" style="183" customWidth="1"/>
    <col min="46" max="16384" width="9.140625" style="183"/>
  </cols>
  <sheetData>
    <row r="1" spans="2:41" ht="31.5" customHeight="1">
      <c r="B1" s="707" t="str">
        <f>CONCATENATE("Bunker calculation (",D14," ",C5,IF(C6="",""," - "),C6,IF(C7="",""," - "),C7,IF(C8="",""," - "),C8,IF(C9="",""," - "),C9,IF(C10="",""," - "),C10,")")</f>
        <v>Bunker calculation (79B-L Tianjin - Mizushima - Port Canaveral)</v>
      </c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  <c r="P1" s="707"/>
      <c r="Q1" s="707"/>
      <c r="R1" s="707"/>
      <c r="S1" s="707"/>
      <c r="T1" s="707"/>
      <c r="U1" s="707"/>
      <c r="V1" s="707"/>
      <c r="W1" s="707"/>
      <c r="X1" s="707"/>
      <c r="Y1" s="707"/>
      <c r="Z1" s="707"/>
      <c r="AA1" s="707"/>
      <c r="AB1" s="707"/>
      <c r="AC1" s="707"/>
      <c r="AD1" s="707"/>
      <c r="AE1" s="707"/>
      <c r="AF1" s="707"/>
      <c r="AG1" s="707"/>
      <c r="AH1" s="707"/>
      <c r="AI1" s="707"/>
      <c r="AJ1" s="707"/>
    </row>
    <row r="2" spans="2:41" ht="9.75" customHeight="1" thickBot="1"/>
    <row r="3" spans="2:41" ht="39.75" customHeight="1">
      <c r="B3" s="697" t="s">
        <v>179</v>
      </c>
      <c r="C3" s="690" t="s">
        <v>180</v>
      </c>
      <c r="D3" s="690" t="s">
        <v>181</v>
      </c>
      <c r="E3" s="690" t="s">
        <v>182</v>
      </c>
      <c r="F3" s="690" t="s">
        <v>183</v>
      </c>
      <c r="G3" s="690" t="s">
        <v>184</v>
      </c>
      <c r="H3" s="708" t="s">
        <v>185</v>
      </c>
      <c r="I3" s="697" t="s">
        <v>186</v>
      </c>
      <c r="J3" s="700" t="s">
        <v>187</v>
      </c>
      <c r="K3" s="700"/>
      <c r="L3" s="700"/>
      <c r="M3" s="700"/>
      <c r="N3" s="701"/>
      <c r="O3" s="706"/>
      <c r="P3" s="697" t="s">
        <v>188</v>
      </c>
      <c r="Q3" s="699" t="s">
        <v>189</v>
      </c>
      <c r="R3" s="699"/>
      <c r="S3" s="699"/>
      <c r="T3" s="700"/>
      <c r="U3" s="701"/>
      <c r="V3" s="701"/>
      <c r="W3" s="702" t="s">
        <v>190</v>
      </c>
      <c r="X3" s="703"/>
      <c r="Y3" s="704"/>
      <c r="Z3" s="705" t="s">
        <v>191</v>
      </c>
      <c r="AA3" s="700"/>
      <c r="AB3" s="706"/>
      <c r="AC3" s="705" t="s">
        <v>192</v>
      </c>
      <c r="AD3" s="700"/>
      <c r="AE3" s="706"/>
      <c r="AF3" s="705" t="s">
        <v>193</v>
      </c>
      <c r="AG3" s="700"/>
      <c r="AH3" s="706"/>
      <c r="AI3" s="690" t="s">
        <v>194</v>
      </c>
      <c r="AJ3" s="692" t="s">
        <v>195</v>
      </c>
    </row>
    <row r="4" spans="2:41" ht="19.5" customHeight="1" thickBot="1">
      <c r="B4" s="698"/>
      <c r="C4" s="691"/>
      <c r="D4" s="691"/>
      <c r="E4" s="691"/>
      <c r="F4" s="691"/>
      <c r="G4" s="691"/>
      <c r="H4" s="709"/>
      <c r="I4" s="698"/>
      <c r="J4" s="694" t="str">
        <f>D15</f>
        <v>HSIFO</v>
      </c>
      <c r="K4" s="695"/>
      <c r="L4" s="694" t="str">
        <f>E15</f>
        <v>LSMGO</v>
      </c>
      <c r="M4" s="695"/>
      <c r="N4" s="694" t="str">
        <f>F15</f>
        <v>MGO</v>
      </c>
      <c r="O4" s="696"/>
      <c r="P4" s="698"/>
      <c r="Q4" s="694" t="str">
        <f>D15</f>
        <v>HSIFO</v>
      </c>
      <c r="R4" s="695"/>
      <c r="S4" s="694" t="str">
        <f>E15</f>
        <v>LSMGO</v>
      </c>
      <c r="T4" s="695"/>
      <c r="U4" s="694" t="str">
        <f>F15</f>
        <v>MGO</v>
      </c>
      <c r="V4" s="696"/>
      <c r="W4" s="184" t="str">
        <f>D15</f>
        <v>HSIFO</v>
      </c>
      <c r="X4" s="185" t="str">
        <f>E15</f>
        <v>LSMGO</v>
      </c>
      <c r="Y4" s="186" t="s">
        <v>198</v>
      </c>
      <c r="Z4" s="184" t="str">
        <f>D15</f>
        <v>HSIFO</v>
      </c>
      <c r="AA4" s="185" t="str">
        <f>E15</f>
        <v>LSMGO</v>
      </c>
      <c r="AB4" s="186" t="str">
        <f>F15</f>
        <v>MGO</v>
      </c>
      <c r="AC4" s="184" t="str">
        <f>D15</f>
        <v>HSIFO</v>
      </c>
      <c r="AD4" s="185" t="str">
        <f>E15</f>
        <v>LSMGO</v>
      </c>
      <c r="AE4" s="186" t="str">
        <f>F15</f>
        <v>MGO</v>
      </c>
      <c r="AF4" s="184" t="str">
        <f>D15</f>
        <v>HSIFO</v>
      </c>
      <c r="AG4" s="185" t="str">
        <f>E15</f>
        <v>LSMGO</v>
      </c>
      <c r="AH4" s="186" t="str">
        <f>F15</f>
        <v>MGO</v>
      </c>
      <c r="AI4" s="691"/>
      <c r="AJ4" s="693"/>
      <c r="AK4" s="187"/>
      <c r="AL4" s="187"/>
      <c r="AM4" s="187"/>
      <c r="AN4" s="187"/>
      <c r="AO4" s="187"/>
    </row>
    <row r="5" spans="2:41" ht="24.75" customHeight="1">
      <c r="B5" s="188">
        <v>1</v>
      </c>
      <c r="C5" s="270" t="s">
        <v>199</v>
      </c>
      <c r="D5" s="189"/>
      <c r="E5" s="190">
        <f>E6+D6</f>
        <v>10842</v>
      </c>
      <c r="F5" s="191"/>
      <c r="G5" s="192"/>
      <c r="H5" s="193"/>
      <c r="I5" s="299"/>
      <c r="J5" s="195"/>
      <c r="K5" s="195"/>
      <c r="L5" s="195"/>
      <c r="M5" s="195"/>
      <c r="N5" s="195"/>
      <c r="O5" s="196"/>
      <c r="P5" s="194"/>
      <c r="Q5" s="195"/>
      <c r="R5" s="195"/>
      <c r="S5" s="195"/>
      <c r="T5" s="195"/>
      <c r="U5" s="195"/>
      <c r="V5" s="196"/>
      <c r="W5" s="295">
        <v>510</v>
      </c>
      <c r="X5" s="296">
        <v>217.7</v>
      </c>
      <c r="Y5" s="297">
        <v>26.9</v>
      </c>
      <c r="Z5" s="197">
        <f>$Z$11-W5</f>
        <v>736.21475000000009</v>
      </c>
      <c r="AA5" s="198">
        <f t="shared" ref="AA5:AA10" si="0">$AA$11-X5</f>
        <v>128.30525</v>
      </c>
      <c r="AB5" s="199">
        <f t="shared" ref="AB5:AB10" si="1">$AB$11-Y5</f>
        <v>65.579999999999984</v>
      </c>
      <c r="AC5" s="200"/>
      <c r="AD5" s="201"/>
      <c r="AE5" s="202"/>
      <c r="AF5" s="200"/>
      <c r="AG5" s="201"/>
      <c r="AH5" s="202"/>
      <c r="AI5" s="203" t="s">
        <v>200</v>
      </c>
      <c r="AJ5" s="294">
        <v>42796</v>
      </c>
      <c r="AK5" s="204"/>
      <c r="AL5" s="187"/>
      <c r="AM5" s="187"/>
      <c r="AN5" s="187"/>
      <c r="AO5" s="187"/>
    </row>
    <row r="6" spans="2:41" ht="22.5" customHeight="1">
      <c r="B6" s="205">
        <v>2</v>
      </c>
      <c r="C6" s="266" t="s">
        <v>201</v>
      </c>
      <c r="D6" s="267">
        <v>1242</v>
      </c>
      <c r="E6" s="206">
        <f>E7+D7</f>
        <v>9600</v>
      </c>
      <c r="F6" s="207">
        <f>D6</f>
        <v>1242</v>
      </c>
      <c r="G6" s="262">
        <v>13</v>
      </c>
      <c r="H6" s="208">
        <f>I6</f>
        <v>4</v>
      </c>
      <c r="I6" s="298">
        <f t="shared" ref="I6:I7" si="2">IF(G6="",0,ROUNDUP(D6/G6/24,1))</f>
        <v>4</v>
      </c>
      <c r="J6" s="261">
        <v>26.2</v>
      </c>
      <c r="K6" s="209">
        <f>ROUNDUP((I6+I6/100*$D$19)*J6,0)</f>
        <v>105</v>
      </c>
      <c r="L6" s="261">
        <v>0</v>
      </c>
      <c r="M6" s="210">
        <f>ROUNDUP((I6+I6/100*$E$19)*L6,1)</f>
        <v>0</v>
      </c>
      <c r="N6" s="256">
        <v>0.1</v>
      </c>
      <c r="O6" s="211">
        <f>ROUNDUP((I6+I6/100*$F$19)*N6,1)</f>
        <v>0.4</v>
      </c>
      <c r="P6" s="258">
        <v>3</v>
      </c>
      <c r="Q6" s="261">
        <v>2.8</v>
      </c>
      <c r="R6" s="212">
        <f>ROUNDUP((P6+P6/100*$D$19)*Q6,0)</f>
        <v>9</v>
      </c>
      <c r="S6" s="257">
        <v>0</v>
      </c>
      <c r="T6" s="210">
        <f>ROUNDUP((P6+P6/100*$E$19)*S6,1)</f>
        <v>0</v>
      </c>
      <c r="U6" s="256">
        <v>0.1</v>
      </c>
      <c r="V6" s="211">
        <f>ROUNDUP((P6+P6/100*$F$19)*U6,1)</f>
        <v>0.3</v>
      </c>
      <c r="W6" s="213">
        <f>IF(W5-K6-R6&lt;0,0,W5-K6-R6)</f>
        <v>396</v>
      </c>
      <c r="X6" s="198">
        <f>IF(X5-T6-M6&lt;0,0,X5-T6-M6)</f>
        <v>217.7</v>
      </c>
      <c r="Y6" s="199">
        <f>IF(Y5-V6-O6&lt;0,0,Y5-V6-O6)</f>
        <v>26.2</v>
      </c>
      <c r="Z6" s="214">
        <f>$Z$11-W6</f>
        <v>850.21475000000009</v>
      </c>
      <c r="AA6" s="215">
        <f t="shared" si="0"/>
        <v>128.30525</v>
      </c>
      <c r="AB6" s="216">
        <f t="shared" si="1"/>
        <v>66.279999999999987</v>
      </c>
      <c r="AC6" s="217">
        <f>K6+R6</f>
        <v>114</v>
      </c>
      <c r="AD6" s="210">
        <f>M6+T6</f>
        <v>0</v>
      </c>
      <c r="AE6" s="211">
        <f t="shared" ref="AE6:AE10" si="3">O6+V6</f>
        <v>0.7</v>
      </c>
      <c r="AF6" s="217">
        <f>AC6</f>
        <v>114</v>
      </c>
      <c r="AG6" s="210">
        <f>AD6</f>
        <v>0</v>
      </c>
      <c r="AH6" s="211">
        <f>AE6</f>
        <v>0.7</v>
      </c>
      <c r="AI6" s="218">
        <f>ROUNDUP(AJ5+I6,0)</f>
        <v>42800</v>
      </c>
      <c r="AJ6" s="293">
        <f>ROUNDUP(AI6+P6,0)</f>
        <v>42803</v>
      </c>
    </row>
    <row r="7" spans="2:41" ht="22.5" customHeight="1">
      <c r="B7" s="205">
        <v>3</v>
      </c>
      <c r="C7" s="266" t="s">
        <v>202</v>
      </c>
      <c r="D7" s="267">
        <v>9600</v>
      </c>
      <c r="E7" s="206">
        <f>D8+E8</f>
        <v>0</v>
      </c>
      <c r="F7" s="220">
        <f>D7+F6</f>
        <v>10842</v>
      </c>
      <c r="G7" s="263">
        <v>12.5</v>
      </c>
      <c r="H7" s="221">
        <f>H6+I7</f>
        <v>36</v>
      </c>
      <c r="I7" s="222">
        <f t="shared" si="2"/>
        <v>32</v>
      </c>
      <c r="J7" s="275">
        <v>27</v>
      </c>
      <c r="K7" s="273">
        <f>ROUNDUP((I7+I7/100*$D$19)*J7,0)</f>
        <v>864</v>
      </c>
      <c r="L7" s="275">
        <v>0</v>
      </c>
      <c r="M7" s="215">
        <f t="shared" ref="M7:M10" si="4">ROUNDUP((I7+I7/100*$E$19)*L7,1)</f>
        <v>0</v>
      </c>
      <c r="N7" s="276">
        <v>0.1</v>
      </c>
      <c r="O7" s="216">
        <f t="shared" ref="O7:O10" si="5">ROUNDUP((I7+I7/100*$F$19)*N7,1)</f>
        <v>3.2</v>
      </c>
      <c r="P7" s="259">
        <v>1</v>
      </c>
      <c r="Q7" s="275">
        <v>2.8</v>
      </c>
      <c r="R7" s="281">
        <f t="shared" ref="R7:R10" si="6">ROUNDUP((P7+P7/100*$D$19)*Q7,0)</f>
        <v>3</v>
      </c>
      <c r="S7" s="282">
        <v>0</v>
      </c>
      <c r="T7" s="215">
        <f t="shared" ref="T7:T10" si="7">ROUNDUP((P7+P7/100*$E$19)*S7,1)</f>
        <v>0</v>
      </c>
      <c r="U7" s="276">
        <v>0.1</v>
      </c>
      <c r="V7" s="216">
        <f t="shared" ref="V7:V10" si="8">ROUNDUP((P7+P7/100*$F$19)*U7,1)</f>
        <v>0.1</v>
      </c>
      <c r="W7" s="213">
        <f>IF(W6-K7-R7&lt;0,0,W6-K7-R7)</f>
        <v>0</v>
      </c>
      <c r="X7" s="198">
        <f>IF(X6-T7-M7&lt;0,0,X6-T7-M7)</f>
        <v>217.7</v>
      </c>
      <c r="Y7" s="199">
        <f>IF(Y6-V7-O7&lt;0,0,Y6-V7-O7)</f>
        <v>22.9</v>
      </c>
      <c r="Z7" s="214">
        <f>$Z$11-W7</f>
        <v>1246.2147500000001</v>
      </c>
      <c r="AA7" s="215">
        <f t="shared" si="0"/>
        <v>128.30525</v>
      </c>
      <c r="AB7" s="216">
        <f t="shared" si="1"/>
        <v>69.579999999999984</v>
      </c>
      <c r="AC7" s="223">
        <f>K7+R7</f>
        <v>867</v>
      </c>
      <c r="AD7" s="215">
        <f>M7+T7</f>
        <v>0</v>
      </c>
      <c r="AE7" s="216">
        <f t="shared" si="3"/>
        <v>3.3000000000000003</v>
      </c>
      <c r="AF7" s="223">
        <f t="shared" ref="AF7:AH10" si="9">AF6+AC7</f>
        <v>981</v>
      </c>
      <c r="AG7" s="215">
        <f t="shared" si="9"/>
        <v>0</v>
      </c>
      <c r="AH7" s="216">
        <f t="shared" si="9"/>
        <v>4</v>
      </c>
      <c r="AI7" s="224">
        <f>ROUNDUP(AI6+P6+I7,0)</f>
        <v>42835</v>
      </c>
      <c r="AJ7" s="219">
        <f>ROUNDUP(AI7+P7,0)</f>
        <v>42836</v>
      </c>
    </row>
    <row r="8" spans="2:41" ht="22.5" customHeight="1">
      <c r="B8" s="205">
        <v>4</v>
      </c>
      <c r="C8" s="266"/>
      <c r="D8" s="267"/>
      <c r="E8" s="206">
        <f>D9+E9</f>
        <v>0</v>
      </c>
      <c r="F8" s="220">
        <f>D8+F7</f>
        <v>10842</v>
      </c>
      <c r="G8" s="263"/>
      <c r="H8" s="221">
        <f>H7+I8</f>
        <v>36</v>
      </c>
      <c r="I8" s="222">
        <f>IF(G8="",0,ROUNDUP(D8/G8/24,1))</f>
        <v>0</v>
      </c>
      <c r="J8" s="275"/>
      <c r="K8" s="273">
        <f t="shared" ref="K8:K10" si="10">ROUNDUP((I8+I8/100*$D$19)*J8,0)</f>
        <v>0</v>
      </c>
      <c r="L8" s="275"/>
      <c r="M8" s="215">
        <f t="shared" si="4"/>
        <v>0</v>
      </c>
      <c r="N8" s="276"/>
      <c r="O8" s="216">
        <f t="shared" si="5"/>
        <v>0</v>
      </c>
      <c r="P8" s="259"/>
      <c r="Q8" s="275"/>
      <c r="R8" s="281">
        <f t="shared" si="6"/>
        <v>0</v>
      </c>
      <c r="S8" s="282"/>
      <c r="T8" s="215">
        <f t="shared" si="7"/>
        <v>0</v>
      </c>
      <c r="U8" s="276"/>
      <c r="V8" s="216">
        <f t="shared" si="8"/>
        <v>0</v>
      </c>
      <c r="W8" s="213">
        <f>IF(W7-K8-R8&lt;0,0,W7-K8-R8)</f>
        <v>0</v>
      </c>
      <c r="X8" s="198">
        <f>IF(X7-T8-M8&lt;0,0,X7-T8-M8)</f>
        <v>217.7</v>
      </c>
      <c r="Y8" s="199">
        <f t="shared" ref="Y8:Y10" si="11">IF(Y7-V8-O8&lt;0,0,Y7-V8-O8)</f>
        <v>22.9</v>
      </c>
      <c r="Z8" s="214">
        <f>$Z$11-W8</f>
        <v>1246.2147500000001</v>
      </c>
      <c r="AA8" s="215">
        <f t="shared" si="0"/>
        <v>128.30525</v>
      </c>
      <c r="AB8" s="216">
        <f t="shared" si="1"/>
        <v>69.579999999999984</v>
      </c>
      <c r="AC8" s="223">
        <f>K8+R8</f>
        <v>0</v>
      </c>
      <c r="AD8" s="215">
        <f>M8+T8</f>
        <v>0</v>
      </c>
      <c r="AE8" s="216">
        <f t="shared" si="3"/>
        <v>0</v>
      </c>
      <c r="AF8" s="223">
        <f t="shared" si="9"/>
        <v>981</v>
      </c>
      <c r="AG8" s="215">
        <f t="shared" si="9"/>
        <v>0</v>
      </c>
      <c r="AH8" s="216">
        <f t="shared" si="9"/>
        <v>4</v>
      </c>
      <c r="AI8" s="224">
        <f>ROUNDUP(AI7+P7+I8,0)</f>
        <v>42836</v>
      </c>
      <c r="AJ8" s="219">
        <f>ROUNDUP(AI8+P8,0)</f>
        <v>42836</v>
      </c>
    </row>
    <row r="9" spans="2:41" ht="22.5" customHeight="1">
      <c r="B9" s="205">
        <v>5</v>
      </c>
      <c r="C9" s="266"/>
      <c r="D9" s="267"/>
      <c r="E9" s="206">
        <f>D10</f>
        <v>0</v>
      </c>
      <c r="F9" s="220">
        <f>D9+F8</f>
        <v>10842</v>
      </c>
      <c r="G9" s="263"/>
      <c r="H9" s="221">
        <f>H8+I9</f>
        <v>36</v>
      </c>
      <c r="I9" s="222">
        <f t="shared" ref="I9:I10" si="12">IF(G9="",0,ROUNDUP(D9/G9/24,1))</f>
        <v>0</v>
      </c>
      <c r="J9" s="275"/>
      <c r="K9" s="273">
        <f t="shared" si="10"/>
        <v>0</v>
      </c>
      <c r="L9" s="275"/>
      <c r="M9" s="215">
        <f t="shared" si="4"/>
        <v>0</v>
      </c>
      <c r="N9" s="276"/>
      <c r="O9" s="216">
        <f t="shared" si="5"/>
        <v>0</v>
      </c>
      <c r="P9" s="259"/>
      <c r="Q9" s="275"/>
      <c r="R9" s="281">
        <f t="shared" si="6"/>
        <v>0</v>
      </c>
      <c r="S9" s="282"/>
      <c r="T9" s="215">
        <f t="shared" si="7"/>
        <v>0</v>
      </c>
      <c r="U9" s="276"/>
      <c r="V9" s="216">
        <f t="shared" si="8"/>
        <v>0</v>
      </c>
      <c r="W9" s="213">
        <f>IF(W8-K9-R9&lt;0,0,W8-K9-R9)</f>
        <v>0</v>
      </c>
      <c r="X9" s="198">
        <f>IF(X8-T9-M9&lt;0,0,X8-T9-M9)</f>
        <v>217.7</v>
      </c>
      <c r="Y9" s="199">
        <f t="shared" si="11"/>
        <v>22.9</v>
      </c>
      <c r="Z9" s="214">
        <f t="shared" ref="Z9:Z10" si="13">$Z$11-W9</f>
        <v>1246.2147500000001</v>
      </c>
      <c r="AA9" s="215">
        <f t="shared" si="0"/>
        <v>128.30525</v>
      </c>
      <c r="AB9" s="216">
        <f t="shared" si="1"/>
        <v>69.579999999999984</v>
      </c>
      <c r="AC9" s="223">
        <f>K9+R9</f>
        <v>0</v>
      </c>
      <c r="AD9" s="215">
        <f>M9+T9</f>
        <v>0</v>
      </c>
      <c r="AE9" s="216">
        <f t="shared" si="3"/>
        <v>0</v>
      </c>
      <c r="AF9" s="223">
        <f>AF8+AC9</f>
        <v>981</v>
      </c>
      <c r="AG9" s="215">
        <f t="shared" si="9"/>
        <v>0</v>
      </c>
      <c r="AH9" s="216">
        <f t="shared" si="9"/>
        <v>4</v>
      </c>
      <c r="AI9" s="224">
        <f>ROUNDUP(AI8+P8+I9,0)</f>
        <v>42836</v>
      </c>
      <c r="AJ9" s="219">
        <f>ROUNDUP(AI9+P9,0)</f>
        <v>42836</v>
      </c>
    </row>
    <row r="10" spans="2:41" ht="22.5" customHeight="1" thickBot="1">
      <c r="B10" s="225">
        <v>6</v>
      </c>
      <c r="C10" s="268"/>
      <c r="D10" s="269"/>
      <c r="E10" s="226"/>
      <c r="F10" s="227">
        <f>D10+F9</f>
        <v>10842</v>
      </c>
      <c r="G10" s="264"/>
      <c r="H10" s="228">
        <f>H9+I10</f>
        <v>36</v>
      </c>
      <c r="I10" s="222">
        <f t="shared" si="12"/>
        <v>0</v>
      </c>
      <c r="J10" s="277"/>
      <c r="K10" s="274">
        <f t="shared" si="10"/>
        <v>0</v>
      </c>
      <c r="L10" s="277"/>
      <c r="M10" s="278">
        <f t="shared" si="4"/>
        <v>0</v>
      </c>
      <c r="N10" s="279"/>
      <c r="O10" s="280">
        <f t="shared" si="5"/>
        <v>0</v>
      </c>
      <c r="P10" s="260"/>
      <c r="Q10" s="277"/>
      <c r="R10" s="283">
        <f t="shared" si="6"/>
        <v>0</v>
      </c>
      <c r="S10" s="284"/>
      <c r="T10" s="278">
        <f t="shared" si="7"/>
        <v>0</v>
      </c>
      <c r="U10" s="279"/>
      <c r="V10" s="280">
        <f t="shared" si="8"/>
        <v>0</v>
      </c>
      <c r="W10" s="231">
        <f>IF(W9-K10-R10&lt;0,0,W9-K10-R10)</f>
        <v>0</v>
      </c>
      <c r="X10" s="229">
        <f>IF(X9-T10-M10&lt;0,0,X9-T10-M10)</f>
        <v>217.7</v>
      </c>
      <c r="Y10" s="230">
        <f t="shared" si="11"/>
        <v>22.9</v>
      </c>
      <c r="Z10" s="232">
        <f t="shared" si="13"/>
        <v>1246.2147500000001</v>
      </c>
      <c r="AA10" s="233">
        <f t="shared" si="0"/>
        <v>128.30525</v>
      </c>
      <c r="AB10" s="234">
        <f t="shared" si="1"/>
        <v>69.579999999999984</v>
      </c>
      <c r="AC10" s="235">
        <f>K10+R10</f>
        <v>0</v>
      </c>
      <c r="AD10" s="229">
        <f>M10+T10</f>
        <v>0</v>
      </c>
      <c r="AE10" s="230">
        <f t="shared" si="3"/>
        <v>0</v>
      </c>
      <c r="AF10" s="236">
        <f>AF9+AC10</f>
        <v>981</v>
      </c>
      <c r="AG10" s="233">
        <f t="shared" si="9"/>
        <v>0</v>
      </c>
      <c r="AH10" s="234">
        <f t="shared" si="9"/>
        <v>4</v>
      </c>
      <c r="AI10" s="237">
        <f>ROUNDUP(AI9+P9+I10,0)</f>
        <v>42836</v>
      </c>
      <c r="AJ10" s="238">
        <f>ROUNDUP(AI10+P10,0)</f>
        <v>42836</v>
      </c>
    </row>
    <row r="11" spans="2:41" ht="22.5" customHeight="1" thickBot="1">
      <c r="B11" s="239"/>
      <c r="C11" s="240" t="s">
        <v>99</v>
      </c>
      <c r="D11" s="241">
        <f>E5</f>
        <v>10842</v>
      </c>
      <c r="E11" s="242"/>
      <c r="F11" s="243"/>
      <c r="G11" s="243"/>
      <c r="H11" s="244"/>
      <c r="I11" s="245">
        <f>SUM(I6:I10)</f>
        <v>36</v>
      </c>
      <c r="J11" s="680">
        <f>SUM(K6:K10)</f>
        <v>969</v>
      </c>
      <c r="K11" s="681"/>
      <c r="L11" s="680">
        <f>SUM(M6:M10)</f>
        <v>0</v>
      </c>
      <c r="M11" s="681"/>
      <c r="N11" s="680">
        <f>SUM(O6:O10)</f>
        <v>3.6</v>
      </c>
      <c r="O11" s="681"/>
      <c r="P11" s="245">
        <f>SUM(P6:P10)</f>
        <v>4</v>
      </c>
      <c r="Q11" s="680">
        <f>SUM(R6:R10)</f>
        <v>12</v>
      </c>
      <c r="R11" s="681"/>
      <c r="S11" s="680">
        <f>SUM(T6:T10)</f>
        <v>0</v>
      </c>
      <c r="T11" s="681"/>
      <c r="U11" s="680">
        <f>SUM(V6:V10)</f>
        <v>0.4</v>
      </c>
      <c r="V11" s="681"/>
      <c r="W11" s="246"/>
      <c r="X11" s="247"/>
      <c r="Y11" s="248"/>
      <c r="Z11" s="249">
        <f>(D16/100*D17)*D18</f>
        <v>1246.2147500000001</v>
      </c>
      <c r="AA11" s="250">
        <f>(E16/100*E17)*E18</f>
        <v>346.00524999999999</v>
      </c>
      <c r="AB11" s="251">
        <f>(F16/100*F17)*F18</f>
        <v>92.47999999999999</v>
      </c>
      <c r="AC11" s="252">
        <f>SUM(AC6:AC10)</f>
        <v>981</v>
      </c>
      <c r="AD11" s="252">
        <f>SUM(AD6:AD10)</f>
        <v>0</v>
      </c>
      <c r="AE11" s="252">
        <f>SUM(AE6:AE10)</f>
        <v>4</v>
      </c>
      <c r="AF11" s="246"/>
      <c r="AG11" s="247"/>
      <c r="AH11" s="248"/>
      <c r="AI11" s="246"/>
      <c r="AJ11" s="248"/>
    </row>
    <row r="12" spans="2:41" ht="12" customHeight="1"/>
    <row r="13" spans="2:41" ht="13.5" thickBot="1">
      <c r="D13" s="253"/>
      <c r="I13" s="253"/>
      <c r="J13" s="253"/>
      <c r="K13" s="253"/>
      <c r="W13" s="253"/>
      <c r="X13" s="254"/>
      <c r="Y13" s="254"/>
      <c r="AC13" s="254"/>
    </row>
    <row r="14" spans="2:41" ht="15.75" customHeight="1" thickTop="1">
      <c r="B14" s="682" t="s">
        <v>204</v>
      </c>
      <c r="C14" s="683"/>
      <c r="D14" s="285" t="s">
        <v>205</v>
      </c>
      <c r="E14" s="286"/>
      <c r="F14" s="287"/>
    </row>
    <row r="15" spans="2:41" ht="15.75" customHeight="1">
      <c r="B15" s="684"/>
      <c r="C15" s="685"/>
      <c r="D15" s="271" t="s">
        <v>196</v>
      </c>
      <c r="E15" s="271" t="s">
        <v>197</v>
      </c>
      <c r="F15" s="288" t="s">
        <v>198</v>
      </c>
    </row>
    <row r="16" spans="2:41" ht="15.75" customHeight="1">
      <c r="B16" s="686" t="s">
        <v>206</v>
      </c>
      <c r="C16" s="687"/>
      <c r="D16" s="271">
        <v>1543.3</v>
      </c>
      <c r="E16" s="271">
        <v>478.9</v>
      </c>
      <c r="F16" s="288">
        <v>128</v>
      </c>
      <c r="H16" s="255"/>
    </row>
    <row r="17" spans="2:6" ht="15.75" customHeight="1">
      <c r="B17" s="688" t="s">
        <v>207</v>
      </c>
      <c r="C17" s="689"/>
      <c r="D17" s="265">
        <v>85</v>
      </c>
      <c r="E17" s="265">
        <v>85</v>
      </c>
      <c r="F17" s="289">
        <v>85</v>
      </c>
    </row>
    <row r="18" spans="2:6" ht="15.75" customHeight="1">
      <c r="B18" s="688" t="s">
        <v>208</v>
      </c>
      <c r="C18" s="689"/>
      <c r="D18" s="272">
        <v>0.95</v>
      </c>
      <c r="E18" s="272">
        <v>0.85</v>
      </c>
      <c r="F18" s="290">
        <v>0.85</v>
      </c>
    </row>
    <row r="19" spans="2:6" ht="16.5" customHeight="1" thickBot="1">
      <c r="B19" s="678" t="s">
        <v>203</v>
      </c>
      <c r="C19" s="679"/>
      <c r="D19" s="291">
        <v>0</v>
      </c>
      <c r="E19" s="291">
        <v>0</v>
      </c>
      <c r="F19" s="292">
        <v>0</v>
      </c>
    </row>
    <row r="20" spans="2:6" ht="13.5" thickTop="1">
      <c r="D20" s="253"/>
    </row>
  </sheetData>
  <sheetProtection sheet="1" objects="1" scenarios="1"/>
  <mergeCells count="36">
    <mergeCell ref="B1:AJ1"/>
    <mergeCell ref="B3:B4"/>
    <mergeCell ref="C3:C4"/>
    <mergeCell ref="D3:D4"/>
    <mergeCell ref="E3:E4"/>
    <mergeCell ref="F3:F4"/>
    <mergeCell ref="G3:G4"/>
    <mergeCell ref="H3:H4"/>
    <mergeCell ref="I3:I4"/>
    <mergeCell ref="J3:O3"/>
    <mergeCell ref="S11:T11"/>
    <mergeCell ref="U11:V11"/>
    <mergeCell ref="AI3:AI4"/>
    <mergeCell ref="AJ3:AJ4"/>
    <mergeCell ref="J4:K4"/>
    <mergeCell ref="L4:M4"/>
    <mergeCell ref="N4:O4"/>
    <mergeCell ref="Q4:R4"/>
    <mergeCell ref="S4:T4"/>
    <mergeCell ref="U4:V4"/>
    <mergeCell ref="P3:P4"/>
    <mergeCell ref="Q3:V3"/>
    <mergeCell ref="W3:Y3"/>
    <mergeCell ref="Z3:AB3"/>
    <mergeCell ref="AC3:AE3"/>
    <mergeCell ref="AF3:AH3"/>
    <mergeCell ref="B19:C19"/>
    <mergeCell ref="J11:K11"/>
    <mergeCell ref="L11:M11"/>
    <mergeCell ref="N11:O11"/>
    <mergeCell ref="Q11:R11"/>
    <mergeCell ref="B14:C14"/>
    <mergeCell ref="B15:C15"/>
    <mergeCell ref="B16:C16"/>
    <mergeCell ref="B17:C17"/>
    <mergeCell ref="B18:C18"/>
  </mergeCells>
  <printOptions horizontalCentered="1"/>
  <pageMargins left="0.25" right="0.25" top="0.25" bottom="0.25" header="0" footer="0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B1:W68"/>
  <sheetViews>
    <sheetView showGridLines="0" showRowColHeaders="0" workbookViewId="0">
      <selection activeCell="C12" sqref="C12:W13"/>
    </sheetView>
  </sheetViews>
  <sheetFormatPr defaultColWidth="14.42578125" defaultRowHeight="15" customHeight="1"/>
  <cols>
    <col min="1" max="1" width="5.7109375" style="27" customWidth="1"/>
    <col min="2" max="2" width="0.85546875" style="27" customWidth="1"/>
    <col min="3" max="13" width="5.28515625" style="27" customWidth="1"/>
    <col min="14" max="14" width="0.85546875" style="27" customWidth="1"/>
    <col min="15" max="15" width="4.42578125" style="27" customWidth="1"/>
    <col min="16" max="23" width="5.28515625" style="27" customWidth="1"/>
    <col min="24" max="16384" width="14.42578125" style="27"/>
  </cols>
  <sheetData>
    <row r="1" spans="2:23" ht="6.75" customHeight="1" thickBot="1"/>
    <row r="2" spans="2:23" ht="18" customHeight="1">
      <c r="B2" s="64"/>
      <c r="C2" s="521" t="s">
        <v>143</v>
      </c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129"/>
      <c r="P2" s="29"/>
    </row>
    <row r="3" spans="2:23" ht="18" customHeight="1">
      <c r="B3" s="66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8"/>
      <c r="P3" s="29"/>
    </row>
    <row r="4" spans="2:23" ht="18" customHeight="1">
      <c r="B4" s="66"/>
      <c r="C4" s="714" t="s">
        <v>144</v>
      </c>
      <c r="D4" s="715"/>
      <c r="E4" s="716"/>
      <c r="F4" s="717" t="s">
        <v>135</v>
      </c>
      <c r="G4" s="717"/>
      <c r="H4" s="717"/>
      <c r="I4" s="717"/>
      <c r="J4" s="717" t="s">
        <v>136</v>
      </c>
      <c r="K4" s="717"/>
      <c r="L4" s="717"/>
      <c r="M4" s="717"/>
      <c r="N4" s="78"/>
      <c r="P4" s="29"/>
    </row>
    <row r="5" spans="2:23" ht="18" customHeight="1">
      <c r="B5" s="66"/>
      <c r="C5" s="714"/>
      <c r="D5" s="715"/>
      <c r="E5" s="716"/>
      <c r="F5" s="717" t="s">
        <v>137</v>
      </c>
      <c r="G5" s="717"/>
      <c r="H5" s="717" t="s">
        <v>138</v>
      </c>
      <c r="I5" s="717"/>
      <c r="J5" s="717" t="s">
        <v>137</v>
      </c>
      <c r="K5" s="717"/>
      <c r="L5" s="717" t="s">
        <v>138</v>
      </c>
      <c r="M5" s="717"/>
      <c r="N5" s="78"/>
      <c r="P5" s="29"/>
    </row>
    <row r="6" spans="2:23" ht="18" customHeight="1">
      <c r="B6" s="66"/>
      <c r="C6" s="714" t="s">
        <v>139</v>
      </c>
      <c r="D6" s="715"/>
      <c r="E6" s="716"/>
      <c r="F6" s="713">
        <v>6</v>
      </c>
      <c r="G6" s="713"/>
      <c r="H6" s="713">
        <v>4</v>
      </c>
      <c r="I6" s="713"/>
      <c r="J6" s="713">
        <v>4</v>
      </c>
      <c r="K6" s="713"/>
      <c r="L6" s="713">
        <v>2</v>
      </c>
      <c r="M6" s="713"/>
      <c r="N6" s="78"/>
      <c r="P6" s="29"/>
    </row>
    <row r="7" spans="2:23" ht="18" customHeight="1">
      <c r="B7" s="66"/>
      <c r="C7" s="714" t="s">
        <v>140</v>
      </c>
      <c r="D7" s="715"/>
      <c r="E7" s="716"/>
      <c r="F7" s="713">
        <v>12</v>
      </c>
      <c r="G7" s="713"/>
      <c r="H7" s="713">
        <v>8</v>
      </c>
      <c r="I7" s="713"/>
      <c r="J7" s="713">
        <v>8</v>
      </c>
      <c r="K7" s="713"/>
      <c r="L7" s="713">
        <v>6</v>
      </c>
      <c r="M7" s="713"/>
      <c r="N7" s="78"/>
      <c r="P7" s="29"/>
    </row>
    <row r="8" spans="2:23" ht="18" customHeight="1">
      <c r="B8" s="66"/>
      <c r="C8" s="714" t="s">
        <v>141</v>
      </c>
      <c r="D8" s="715"/>
      <c r="E8" s="716"/>
      <c r="F8" s="713">
        <v>16</v>
      </c>
      <c r="G8" s="713"/>
      <c r="H8" s="713">
        <v>8</v>
      </c>
      <c r="I8" s="713"/>
      <c r="J8" s="713">
        <v>12</v>
      </c>
      <c r="K8" s="713"/>
      <c r="L8" s="713">
        <v>8</v>
      </c>
      <c r="M8" s="713"/>
      <c r="N8" s="78"/>
      <c r="P8" s="29"/>
    </row>
    <row r="9" spans="2:23" ht="18" customHeight="1">
      <c r="B9" s="66"/>
      <c r="C9" s="714" t="s">
        <v>142</v>
      </c>
      <c r="D9" s="715"/>
      <c r="E9" s="716"/>
      <c r="F9" s="713">
        <v>22</v>
      </c>
      <c r="G9" s="713"/>
      <c r="H9" s="713">
        <v>12</v>
      </c>
      <c r="I9" s="713"/>
      <c r="J9" s="713">
        <v>16</v>
      </c>
      <c r="K9" s="713"/>
      <c r="L9" s="713">
        <v>8</v>
      </c>
      <c r="M9" s="713"/>
      <c r="N9" s="78"/>
      <c r="P9" s="29"/>
    </row>
    <row r="10" spans="2:23" ht="4.5" customHeight="1" thickBot="1">
      <c r="B10" s="68"/>
      <c r="C10" s="69"/>
      <c r="D10" s="69"/>
      <c r="E10" s="69"/>
      <c r="F10" s="69"/>
      <c r="G10" s="69"/>
      <c r="H10" s="80"/>
      <c r="I10" s="80"/>
      <c r="J10" s="80"/>
      <c r="K10" s="80"/>
      <c r="L10" s="80"/>
      <c r="M10" s="80"/>
      <c r="N10" s="81"/>
      <c r="P10" s="29"/>
    </row>
    <row r="11" spans="2:23" ht="15" customHeight="1">
      <c r="H11" s="29"/>
      <c r="I11" s="29"/>
      <c r="J11" s="29"/>
      <c r="K11" s="29"/>
      <c r="L11" s="29"/>
      <c r="M11" s="29"/>
      <c r="N11" s="29"/>
      <c r="O11" s="29"/>
      <c r="P11" s="29"/>
    </row>
    <row r="12" spans="2:23" ht="15" customHeight="1">
      <c r="C12" s="523" t="s">
        <v>145</v>
      </c>
      <c r="D12" s="523"/>
      <c r="E12" s="523"/>
      <c r="F12" s="523"/>
      <c r="G12" s="523"/>
      <c r="H12" s="523"/>
      <c r="I12" s="523"/>
      <c r="J12" s="523"/>
      <c r="K12" s="523"/>
      <c r="L12" s="523"/>
      <c r="M12" s="523"/>
      <c r="N12" s="523"/>
      <c r="O12" s="523"/>
      <c r="P12" s="523"/>
      <c r="Q12" s="523"/>
      <c r="R12" s="523"/>
      <c r="S12" s="523"/>
      <c r="T12" s="523"/>
      <c r="U12" s="523"/>
      <c r="V12" s="523"/>
      <c r="W12" s="523"/>
    </row>
    <row r="13" spans="2:23" ht="15" customHeight="1">
      <c r="C13" s="522"/>
      <c r="D13" s="522"/>
      <c r="E13" s="522"/>
      <c r="F13" s="522"/>
      <c r="G13" s="522"/>
      <c r="H13" s="522"/>
      <c r="I13" s="522"/>
      <c r="J13" s="522"/>
      <c r="K13" s="522"/>
      <c r="L13" s="522"/>
      <c r="M13" s="522"/>
      <c r="N13" s="522"/>
      <c r="O13" s="522"/>
      <c r="P13" s="522"/>
      <c r="Q13" s="522"/>
      <c r="R13" s="522"/>
      <c r="S13" s="522"/>
      <c r="T13" s="522"/>
      <c r="U13" s="522"/>
      <c r="V13" s="522"/>
      <c r="W13" s="522"/>
    </row>
    <row r="14" spans="2:23" ht="15.75" customHeight="1">
      <c r="C14" s="130">
        <v>1</v>
      </c>
      <c r="D14" s="130">
        <v>2</v>
      </c>
      <c r="E14" s="130">
        <v>3</v>
      </c>
      <c r="F14" s="130">
        <v>4</v>
      </c>
      <c r="G14" s="130">
        <v>5</v>
      </c>
      <c r="H14" s="130">
        <v>6</v>
      </c>
      <c r="I14" s="130">
        <v>7</v>
      </c>
      <c r="J14" s="130">
        <v>8</v>
      </c>
      <c r="K14" s="130">
        <v>9</v>
      </c>
      <c r="L14" s="130">
        <v>10</v>
      </c>
      <c r="M14" s="130">
        <v>11</v>
      </c>
      <c r="N14" s="710">
        <v>12</v>
      </c>
      <c r="O14" s="711"/>
      <c r="P14" s="130">
        <v>13</v>
      </c>
      <c r="Q14" s="130">
        <v>14</v>
      </c>
      <c r="R14" s="130">
        <v>15</v>
      </c>
      <c r="S14" s="130">
        <v>16</v>
      </c>
      <c r="T14" s="130">
        <v>17</v>
      </c>
      <c r="U14" s="130">
        <v>18</v>
      </c>
      <c r="V14" s="130">
        <v>19</v>
      </c>
      <c r="W14" s="130">
        <v>20</v>
      </c>
    </row>
    <row r="15" spans="2:23" ht="15.75" customHeight="1">
      <c r="C15" s="130">
        <v>21</v>
      </c>
      <c r="D15" s="130">
        <v>22</v>
      </c>
      <c r="E15" s="130">
        <v>23</v>
      </c>
      <c r="F15" s="130">
        <v>24</v>
      </c>
      <c r="G15" s="130">
        <v>25</v>
      </c>
      <c r="H15" s="130">
        <v>26</v>
      </c>
      <c r="I15" s="130">
        <v>27</v>
      </c>
      <c r="J15" s="130">
        <v>28</v>
      </c>
      <c r="K15" s="130">
        <v>29</v>
      </c>
      <c r="L15" s="130">
        <v>30</v>
      </c>
      <c r="M15" s="130">
        <v>31</v>
      </c>
      <c r="N15" s="710">
        <v>32</v>
      </c>
      <c r="O15" s="711"/>
      <c r="P15" s="130">
        <v>33</v>
      </c>
      <c r="Q15" s="130">
        <v>34</v>
      </c>
      <c r="R15" s="130">
        <v>35</v>
      </c>
      <c r="S15" s="130">
        <v>36</v>
      </c>
      <c r="T15" s="130">
        <v>37</v>
      </c>
      <c r="U15" s="130">
        <v>38</v>
      </c>
      <c r="V15" s="130">
        <v>39</v>
      </c>
      <c r="W15" s="130">
        <v>40</v>
      </c>
    </row>
    <row r="16" spans="2:23" ht="15.75" customHeight="1">
      <c r="C16" s="130">
        <v>41</v>
      </c>
      <c r="D16" s="130">
        <v>42</v>
      </c>
      <c r="E16" s="130">
        <v>43</v>
      </c>
      <c r="F16" s="130">
        <v>44</v>
      </c>
      <c r="G16" s="130">
        <v>45</v>
      </c>
      <c r="H16" s="130">
        <v>46</v>
      </c>
      <c r="I16" s="130">
        <v>47</v>
      </c>
      <c r="J16" s="130">
        <v>48</v>
      </c>
      <c r="K16" s="130">
        <v>49</v>
      </c>
      <c r="L16" s="130">
        <v>50</v>
      </c>
      <c r="M16" s="130">
        <v>51</v>
      </c>
      <c r="N16" s="710">
        <v>52</v>
      </c>
      <c r="O16" s="711"/>
      <c r="P16" s="130">
        <v>53</v>
      </c>
      <c r="Q16" s="130">
        <v>54</v>
      </c>
      <c r="R16" s="130">
        <v>55</v>
      </c>
      <c r="S16" s="130">
        <v>56</v>
      </c>
      <c r="T16" s="130">
        <v>57</v>
      </c>
      <c r="U16" s="130">
        <v>58</v>
      </c>
      <c r="V16" s="130">
        <v>59</v>
      </c>
      <c r="W16" s="130">
        <v>60</v>
      </c>
    </row>
    <row r="17" spans="3:23" ht="15.75" customHeight="1">
      <c r="C17" s="130">
        <v>61</v>
      </c>
      <c r="D17" s="130">
        <v>62</v>
      </c>
      <c r="E17" s="130">
        <v>63</v>
      </c>
      <c r="F17" s="130">
        <v>64</v>
      </c>
      <c r="G17" s="130">
        <v>65</v>
      </c>
      <c r="H17" s="130">
        <v>66</v>
      </c>
      <c r="I17" s="130">
        <v>67</v>
      </c>
      <c r="J17" s="130">
        <v>68</v>
      </c>
      <c r="K17" s="130">
        <v>69</v>
      </c>
      <c r="L17" s="130">
        <v>70</v>
      </c>
      <c r="M17" s="130">
        <v>71</v>
      </c>
      <c r="N17" s="710">
        <v>72</v>
      </c>
      <c r="O17" s="711"/>
      <c r="P17" s="130">
        <v>73</v>
      </c>
      <c r="Q17" s="130">
        <v>74</v>
      </c>
      <c r="R17" s="130">
        <v>75</v>
      </c>
      <c r="S17" s="130">
        <v>76</v>
      </c>
      <c r="T17" s="130">
        <v>77</v>
      </c>
      <c r="U17" s="130">
        <v>78</v>
      </c>
      <c r="V17" s="130">
        <v>79</v>
      </c>
      <c r="W17" s="130">
        <v>80</v>
      </c>
    </row>
    <row r="18" spans="3:23" ht="15.75" customHeight="1">
      <c r="C18" s="130">
        <v>81</v>
      </c>
      <c r="D18" s="130">
        <v>82</v>
      </c>
      <c r="E18" s="130">
        <v>83</v>
      </c>
      <c r="F18" s="130">
        <v>84</v>
      </c>
      <c r="G18" s="130">
        <v>85</v>
      </c>
      <c r="H18" s="130">
        <v>86</v>
      </c>
      <c r="I18" s="130">
        <v>87</v>
      </c>
      <c r="J18" s="130">
        <v>88</v>
      </c>
      <c r="K18" s="130">
        <v>89</v>
      </c>
      <c r="L18" s="130">
        <v>90</v>
      </c>
      <c r="M18" s="130">
        <v>91</v>
      </c>
      <c r="N18" s="710">
        <v>92</v>
      </c>
      <c r="O18" s="711"/>
      <c r="P18" s="130">
        <v>93</v>
      </c>
      <c r="Q18" s="130">
        <v>94</v>
      </c>
      <c r="R18" s="130">
        <v>95</v>
      </c>
      <c r="S18" s="130">
        <v>96</v>
      </c>
      <c r="T18" s="130">
        <v>97</v>
      </c>
      <c r="U18" s="130">
        <v>98</v>
      </c>
      <c r="V18" s="130">
        <v>99</v>
      </c>
      <c r="W18" s="130">
        <v>100</v>
      </c>
    </row>
    <row r="19" spans="3:23" ht="15.75" customHeight="1">
      <c r="C19" s="130">
        <v>101</v>
      </c>
      <c r="D19" s="130">
        <v>102</v>
      </c>
      <c r="E19" s="130">
        <v>103</v>
      </c>
      <c r="F19" s="130">
        <v>104</v>
      </c>
      <c r="G19" s="130">
        <v>105</v>
      </c>
      <c r="H19" s="130">
        <v>106</v>
      </c>
      <c r="I19" s="130">
        <v>107</v>
      </c>
      <c r="J19" s="130">
        <v>108</v>
      </c>
      <c r="K19" s="130">
        <v>109</v>
      </c>
      <c r="L19" s="130">
        <v>110</v>
      </c>
      <c r="M19" s="130">
        <v>111</v>
      </c>
      <c r="N19" s="710">
        <v>112</v>
      </c>
      <c r="O19" s="711"/>
      <c r="P19" s="130">
        <v>113</v>
      </c>
      <c r="Q19" s="130">
        <v>114</v>
      </c>
      <c r="R19" s="130">
        <v>115</v>
      </c>
      <c r="S19" s="130">
        <v>116</v>
      </c>
      <c r="T19" s="130">
        <v>117</v>
      </c>
      <c r="U19" s="130">
        <v>118</v>
      </c>
      <c r="V19" s="130">
        <v>119</v>
      </c>
      <c r="W19" s="130">
        <v>120</v>
      </c>
    </row>
    <row r="20" spans="3:23" ht="15.75" customHeight="1">
      <c r="C20" s="130">
        <v>121</v>
      </c>
      <c r="D20" s="130">
        <v>122</v>
      </c>
      <c r="E20" s="130">
        <v>123</v>
      </c>
      <c r="F20" s="130">
        <v>124</v>
      </c>
      <c r="G20" s="130">
        <v>125</v>
      </c>
      <c r="H20" s="130">
        <v>126</v>
      </c>
      <c r="I20" s="130">
        <v>127</v>
      </c>
      <c r="J20" s="130">
        <v>128</v>
      </c>
      <c r="K20" s="130">
        <v>129</v>
      </c>
      <c r="L20" s="130">
        <v>130</v>
      </c>
      <c r="M20" s="130">
        <v>131</v>
      </c>
      <c r="N20" s="710">
        <v>132</v>
      </c>
      <c r="O20" s="711"/>
      <c r="P20" s="130">
        <v>133</v>
      </c>
      <c r="Q20" s="130">
        <v>134</v>
      </c>
      <c r="R20" s="130">
        <v>135</v>
      </c>
      <c r="S20" s="130">
        <v>136</v>
      </c>
      <c r="T20" s="130">
        <v>137</v>
      </c>
      <c r="U20" s="130">
        <v>138</v>
      </c>
      <c r="V20" s="130">
        <v>139</v>
      </c>
      <c r="W20" s="130">
        <v>140</v>
      </c>
    </row>
    <row r="21" spans="3:23" ht="15.75" customHeight="1">
      <c r="C21" s="130">
        <v>141</v>
      </c>
      <c r="D21" s="130">
        <v>142</v>
      </c>
      <c r="E21" s="130">
        <v>143</v>
      </c>
      <c r="F21" s="130">
        <v>144</v>
      </c>
      <c r="G21" s="130">
        <v>145</v>
      </c>
      <c r="H21" s="130">
        <v>146</v>
      </c>
      <c r="I21" s="130">
        <v>147</v>
      </c>
      <c r="J21" s="130">
        <v>148</v>
      </c>
      <c r="K21" s="130">
        <v>149</v>
      </c>
      <c r="L21" s="130">
        <v>150</v>
      </c>
      <c r="M21" s="130">
        <v>151</v>
      </c>
      <c r="N21" s="710">
        <v>152</v>
      </c>
      <c r="O21" s="711"/>
      <c r="P21" s="130">
        <v>153</v>
      </c>
      <c r="Q21" s="130">
        <v>154</v>
      </c>
      <c r="R21" s="130">
        <v>155</v>
      </c>
      <c r="S21" s="130">
        <v>156</v>
      </c>
      <c r="T21" s="130">
        <v>157</v>
      </c>
      <c r="U21" s="130">
        <v>158</v>
      </c>
      <c r="V21" s="130">
        <v>159</v>
      </c>
      <c r="W21" s="130">
        <v>160</v>
      </c>
    </row>
    <row r="22" spans="3:23" ht="15.75" customHeight="1">
      <c r="C22" s="130">
        <v>161</v>
      </c>
      <c r="D22" s="130">
        <v>162</v>
      </c>
      <c r="E22" s="130">
        <v>163</v>
      </c>
      <c r="F22" s="130">
        <v>164</v>
      </c>
      <c r="G22" s="130">
        <v>165</v>
      </c>
      <c r="H22" s="130">
        <v>166</v>
      </c>
      <c r="I22" s="130">
        <v>167</v>
      </c>
      <c r="J22" s="130">
        <v>168</v>
      </c>
      <c r="K22" s="130">
        <v>169</v>
      </c>
      <c r="L22" s="130">
        <v>170</v>
      </c>
      <c r="M22" s="130">
        <v>171</v>
      </c>
      <c r="N22" s="710">
        <v>172</v>
      </c>
      <c r="O22" s="711"/>
      <c r="P22" s="130">
        <v>173</v>
      </c>
      <c r="Q22" s="130">
        <v>174</v>
      </c>
      <c r="R22" s="130">
        <v>175</v>
      </c>
      <c r="S22" s="130">
        <v>176</v>
      </c>
      <c r="T22" s="130">
        <v>177</v>
      </c>
      <c r="U22" s="130">
        <v>178</v>
      </c>
      <c r="V22" s="130">
        <v>179</v>
      </c>
      <c r="W22" s="130">
        <v>180</v>
      </c>
    </row>
    <row r="23" spans="3:23" ht="15.75" customHeight="1">
      <c r="C23" s="130">
        <v>181</v>
      </c>
      <c r="D23" s="130">
        <v>182</v>
      </c>
      <c r="E23" s="130">
        <v>183</v>
      </c>
      <c r="F23" s="130">
        <v>184</v>
      </c>
      <c r="G23" s="130">
        <v>185</v>
      </c>
      <c r="H23" s="130">
        <v>186</v>
      </c>
      <c r="I23" s="130">
        <v>187</v>
      </c>
      <c r="J23" s="130">
        <v>188</v>
      </c>
      <c r="K23" s="130">
        <v>189</v>
      </c>
      <c r="L23" s="130">
        <v>190</v>
      </c>
      <c r="M23" s="130">
        <v>191</v>
      </c>
      <c r="N23" s="710">
        <v>192</v>
      </c>
      <c r="O23" s="711"/>
      <c r="P23" s="130">
        <v>193</v>
      </c>
      <c r="Q23" s="130">
        <v>194</v>
      </c>
      <c r="R23" s="130">
        <v>195</v>
      </c>
      <c r="S23" s="130">
        <v>196</v>
      </c>
      <c r="T23" s="130">
        <v>197</v>
      </c>
      <c r="U23" s="130">
        <v>198</v>
      </c>
      <c r="V23" s="130">
        <v>199</v>
      </c>
      <c r="W23" s="130">
        <v>200</v>
      </c>
    </row>
    <row r="24" spans="3:23" ht="15.75" customHeight="1">
      <c r="C24" s="130">
        <v>201</v>
      </c>
      <c r="D24" s="130">
        <v>202</v>
      </c>
      <c r="E24" s="130">
        <v>203</v>
      </c>
      <c r="F24" s="130">
        <v>204</v>
      </c>
      <c r="G24" s="130">
        <v>205</v>
      </c>
      <c r="H24" s="130">
        <v>206</v>
      </c>
      <c r="I24" s="130">
        <v>207</v>
      </c>
      <c r="J24" s="130">
        <v>208</v>
      </c>
      <c r="K24" s="130">
        <v>209</v>
      </c>
      <c r="L24" s="130">
        <v>210</v>
      </c>
      <c r="M24" s="130">
        <v>211</v>
      </c>
      <c r="N24" s="710">
        <v>212</v>
      </c>
      <c r="O24" s="711"/>
      <c r="P24" s="130">
        <v>213</v>
      </c>
      <c r="Q24" s="130">
        <v>214</v>
      </c>
      <c r="R24" s="130">
        <v>215</v>
      </c>
      <c r="S24" s="130">
        <v>216</v>
      </c>
      <c r="T24" s="130">
        <v>217</v>
      </c>
      <c r="U24" s="130">
        <v>218</v>
      </c>
      <c r="V24" s="130">
        <v>219</v>
      </c>
      <c r="W24" s="130">
        <v>220</v>
      </c>
    </row>
    <row r="25" spans="3:23" ht="15.75" customHeight="1">
      <c r="C25" s="130">
        <v>221</v>
      </c>
      <c r="D25" s="130">
        <v>222</v>
      </c>
      <c r="E25" s="130">
        <v>223</v>
      </c>
      <c r="F25" s="130">
        <v>224</v>
      </c>
      <c r="G25" s="130">
        <v>225</v>
      </c>
      <c r="H25" s="130">
        <v>226</v>
      </c>
      <c r="I25" s="130">
        <v>227</v>
      </c>
      <c r="J25" s="130">
        <v>228</v>
      </c>
      <c r="K25" s="130">
        <v>229</v>
      </c>
      <c r="L25" s="130">
        <v>230</v>
      </c>
      <c r="M25" s="130">
        <v>231</v>
      </c>
      <c r="N25" s="710">
        <v>232</v>
      </c>
      <c r="O25" s="711"/>
      <c r="P25" s="130">
        <v>233</v>
      </c>
      <c r="Q25" s="130">
        <v>234</v>
      </c>
      <c r="R25" s="130">
        <v>235</v>
      </c>
      <c r="S25" s="130">
        <v>236</v>
      </c>
      <c r="T25" s="130">
        <v>237</v>
      </c>
      <c r="U25" s="130">
        <v>238</v>
      </c>
      <c r="V25" s="130">
        <v>239</v>
      </c>
      <c r="W25" s="130">
        <v>240</v>
      </c>
    </row>
    <row r="26" spans="3:23" ht="15.75" customHeight="1">
      <c r="C26" s="130">
        <v>241</v>
      </c>
      <c r="D26" s="130">
        <v>242</v>
      </c>
      <c r="E26" s="130">
        <v>243</v>
      </c>
      <c r="F26" s="130">
        <v>244</v>
      </c>
      <c r="G26" s="130">
        <v>245</v>
      </c>
      <c r="H26" s="130">
        <v>246</v>
      </c>
      <c r="I26" s="130">
        <v>247</v>
      </c>
      <c r="J26" s="130">
        <v>248</v>
      </c>
      <c r="K26" s="130">
        <v>249</v>
      </c>
      <c r="L26" s="130">
        <v>250</v>
      </c>
      <c r="M26" s="130">
        <v>251</v>
      </c>
      <c r="N26" s="710">
        <v>252</v>
      </c>
      <c r="O26" s="711"/>
      <c r="P26" s="130">
        <v>253</v>
      </c>
      <c r="Q26" s="130">
        <v>254</v>
      </c>
      <c r="R26" s="130">
        <v>255</v>
      </c>
      <c r="S26" s="130">
        <v>256</v>
      </c>
      <c r="T26" s="130">
        <v>257</v>
      </c>
      <c r="U26" s="130">
        <v>258</v>
      </c>
      <c r="V26" s="130">
        <v>259</v>
      </c>
      <c r="W26" s="130">
        <v>260</v>
      </c>
    </row>
    <row r="27" spans="3:23" ht="15.75" customHeight="1">
      <c r="C27" s="130">
        <v>261</v>
      </c>
      <c r="D27" s="130">
        <v>262</v>
      </c>
      <c r="E27" s="130">
        <v>263</v>
      </c>
      <c r="F27" s="130">
        <v>264</v>
      </c>
      <c r="G27" s="130">
        <v>265</v>
      </c>
      <c r="H27" s="130">
        <v>266</v>
      </c>
      <c r="I27" s="130">
        <v>267</v>
      </c>
      <c r="J27" s="130">
        <v>268</v>
      </c>
      <c r="K27" s="130">
        <v>269</v>
      </c>
      <c r="L27" s="130">
        <v>270</v>
      </c>
      <c r="M27" s="130">
        <v>271</v>
      </c>
      <c r="N27" s="710">
        <v>272</v>
      </c>
      <c r="O27" s="711"/>
      <c r="P27" s="130">
        <v>273</v>
      </c>
      <c r="Q27" s="130">
        <v>274</v>
      </c>
      <c r="R27" s="130">
        <v>275</v>
      </c>
      <c r="S27" s="130">
        <v>276</v>
      </c>
      <c r="T27" s="130">
        <v>277</v>
      </c>
      <c r="U27" s="130">
        <v>278</v>
      </c>
      <c r="V27" s="130">
        <v>279</v>
      </c>
      <c r="W27" s="130">
        <v>280</v>
      </c>
    </row>
    <row r="28" spans="3:23" ht="15.75" customHeight="1">
      <c r="C28" s="130">
        <v>281</v>
      </c>
      <c r="D28" s="130">
        <v>282</v>
      </c>
      <c r="E28" s="130">
        <v>283</v>
      </c>
      <c r="F28" s="130">
        <v>284</v>
      </c>
      <c r="G28" s="130">
        <v>285</v>
      </c>
      <c r="H28" s="130">
        <v>286</v>
      </c>
      <c r="I28" s="130">
        <v>287</v>
      </c>
      <c r="J28" s="130">
        <v>288</v>
      </c>
      <c r="K28" s="130">
        <v>289</v>
      </c>
      <c r="L28" s="130">
        <v>290</v>
      </c>
      <c r="M28" s="130">
        <v>291</v>
      </c>
      <c r="N28" s="710">
        <v>292</v>
      </c>
      <c r="O28" s="711"/>
      <c r="P28" s="130">
        <v>293</v>
      </c>
      <c r="Q28" s="130">
        <v>294</v>
      </c>
      <c r="R28" s="130">
        <v>295</v>
      </c>
      <c r="S28" s="130">
        <v>296</v>
      </c>
      <c r="T28" s="130">
        <v>297</v>
      </c>
      <c r="U28" s="130">
        <v>298</v>
      </c>
      <c r="V28" s="130">
        <v>299</v>
      </c>
      <c r="W28" s="130">
        <v>300</v>
      </c>
    </row>
    <row r="29" spans="3:23" ht="15.75" customHeight="1">
      <c r="C29" s="130">
        <v>301</v>
      </c>
      <c r="D29" s="130">
        <v>302</v>
      </c>
      <c r="E29" s="130">
        <v>303</v>
      </c>
      <c r="F29" s="130">
        <v>304</v>
      </c>
      <c r="G29" s="130">
        <v>305</v>
      </c>
      <c r="H29" s="130">
        <v>306</v>
      </c>
      <c r="I29" s="130">
        <v>307</v>
      </c>
      <c r="J29" s="130">
        <v>308</v>
      </c>
      <c r="K29" s="130">
        <v>309</v>
      </c>
      <c r="L29" s="130">
        <v>310</v>
      </c>
      <c r="M29" s="130">
        <v>311</v>
      </c>
      <c r="N29" s="710">
        <v>312</v>
      </c>
      <c r="O29" s="711"/>
      <c r="P29" s="130">
        <v>313</v>
      </c>
      <c r="Q29" s="130">
        <v>314</v>
      </c>
      <c r="R29" s="130">
        <v>315</v>
      </c>
      <c r="S29" s="130">
        <v>316</v>
      </c>
      <c r="T29" s="130">
        <v>317</v>
      </c>
      <c r="U29" s="130">
        <v>318</v>
      </c>
      <c r="V29" s="130">
        <v>319</v>
      </c>
      <c r="W29" s="130">
        <v>320</v>
      </c>
    </row>
    <row r="30" spans="3:23" ht="15.75" customHeight="1">
      <c r="C30" s="130">
        <v>321</v>
      </c>
      <c r="D30" s="130">
        <v>322</v>
      </c>
      <c r="E30" s="130">
        <v>323</v>
      </c>
      <c r="F30" s="130">
        <v>324</v>
      </c>
      <c r="G30" s="130">
        <v>325</v>
      </c>
      <c r="H30" s="130">
        <v>326</v>
      </c>
      <c r="I30" s="130">
        <v>327</v>
      </c>
      <c r="J30" s="130">
        <v>328</v>
      </c>
      <c r="K30" s="130">
        <v>329</v>
      </c>
      <c r="L30" s="130">
        <v>330</v>
      </c>
      <c r="M30" s="130">
        <v>331</v>
      </c>
      <c r="N30" s="710">
        <v>332</v>
      </c>
      <c r="O30" s="711"/>
      <c r="P30" s="130">
        <v>333</v>
      </c>
      <c r="Q30" s="130">
        <v>334</v>
      </c>
      <c r="R30" s="130">
        <v>335</v>
      </c>
      <c r="S30" s="130">
        <v>336</v>
      </c>
      <c r="T30" s="130">
        <v>337</v>
      </c>
      <c r="U30" s="130">
        <v>338</v>
      </c>
      <c r="V30" s="130">
        <v>339</v>
      </c>
      <c r="W30" s="130">
        <v>340</v>
      </c>
    </row>
    <row r="31" spans="3:23" ht="15.75" customHeight="1">
      <c r="C31" s="130">
        <v>341</v>
      </c>
      <c r="D31" s="130">
        <v>342</v>
      </c>
      <c r="E31" s="130">
        <v>343</v>
      </c>
      <c r="F31" s="130">
        <v>344</v>
      </c>
      <c r="G31" s="130">
        <v>345</v>
      </c>
      <c r="H31" s="130">
        <v>346</v>
      </c>
      <c r="I31" s="130">
        <v>347</v>
      </c>
      <c r="J31" s="130">
        <v>348</v>
      </c>
      <c r="K31" s="130">
        <v>349</v>
      </c>
      <c r="L31" s="130">
        <v>350</v>
      </c>
      <c r="M31" s="130">
        <v>351</v>
      </c>
      <c r="N31" s="710">
        <v>352</v>
      </c>
      <c r="O31" s="711"/>
      <c r="P31" s="130">
        <v>353</v>
      </c>
      <c r="Q31" s="130">
        <v>354</v>
      </c>
      <c r="R31" s="130">
        <v>355</v>
      </c>
      <c r="S31" s="130">
        <v>356</v>
      </c>
      <c r="T31" s="130">
        <v>357</v>
      </c>
      <c r="U31" s="130">
        <v>358</v>
      </c>
      <c r="V31" s="130">
        <v>359</v>
      </c>
      <c r="W31" s="130">
        <v>360</v>
      </c>
    </row>
    <row r="32" spans="3:23" ht="15.75" customHeight="1">
      <c r="C32" s="130">
        <v>361</v>
      </c>
      <c r="D32" s="130">
        <v>362</v>
      </c>
      <c r="E32" s="130">
        <v>363</v>
      </c>
      <c r="F32" s="130">
        <v>364</v>
      </c>
      <c r="G32" s="130">
        <v>365</v>
      </c>
      <c r="H32" s="130">
        <v>366</v>
      </c>
      <c r="I32" s="130">
        <v>367</v>
      </c>
      <c r="J32" s="130">
        <v>368</v>
      </c>
      <c r="K32" s="130">
        <v>369</v>
      </c>
      <c r="L32" s="130">
        <v>370</v>
      </c>
      <c r="M32" s="130">
        <v>371</v>
      </c>
      <c r="N32" s="710">
        <v>372</v>
      </c>
      <c r="O32" s="711"/>
      <c r="P32" s="130">
        <v>373</v>
      </c>
      <c r="Q32" s="130">
        <v>374</v>
      </c>
      <c r="R32" s="130">
        <v>375</v>
      </c>
      <c r="S32" s="130">
        <v>376</v>
      </c>
      <c r="T32" s="130">
        <v>377</v>
      </c>
      <c r="U32" s="130">
        <v>378</v>
      </c>
      <c r="V32" s="130">
        <v>379</v>
      </c>
      <c r="W32" s="130">
        <v>380</v>
      </c>
    </row>
    <row r="33" spans="3:23" ht="15.75" customHeight="1">
      <c r="C33" s="130">
        <v>381</v>
      </c>
      <c r="D33" s="130">
        <v>382</v>
      </c>
      <c r="E33" s="130">
        <v>383</v>
      </c>
      <c r="F33" s="130">
        <v>384</v>
      </c>
      <c r="G33" s="130">
        <v>385</v>
      </c>
      <c r="H33" s="130">
        <v>386</v>
      </c>
      <c r="I33" s="130">
        <v>387</v>
      </c>
      <c r="J33" s="130">
        <v>388</v>
      </c>
      <c r="K33" s="130">
        <v>389</v>
      </c>
      <c r="L33" s="130">
        <v>390</v>
      </c>
      <c r="M33" s="130">
        <v>391</v>
      </c>
      <c r="N33" s="710">
        <v>392</v>
      </c>
      <c r="O33" s="711"/>
      <c r="P33" s="130">
        <v>393</v>
      </c>
      <c r="Q33" s="130">
        <v>394</v>
      </c>
      <c r="R33" s="130">
        <v>395</v>
      </c>
      <c r="S33" s="130">
        <v>396</v>
      </c>
      <c r="T33" s="130">
        <v>397</v>
      </c>
      <c r="U33" s="130">
        <v>398</v>
      </c>
      <c r="V33" s="130">
        <v>399</v>
      </c>
      <c r="W33" s="130">
        <v>400</v>
      </c>
    </row>
    <row r="34" spans="3:23" ht="15.75" customHeight="1">
      <c r="C34" s="130">
        <v>401</v>
      </c>
      <c r="D34" s="130">
        <v>402</v>
      </c>
      <c r="E34" s="130">
        <v>403</v>
      </c>
      <c r="F34" s="130">
        <v>404</v>
      </c>
      <c r="G34" s="130">
        <v>405</v>
      </c>
      <c r="H34" s="130">
        <v>406</v>
      </c>
      <c r="I34" s="130">
        <v>407</v>
      </c>
      <c r="J34" s="130">
        <v>408</v>
      </c>
      <c r="K34" s="130">
        <v>409</v>
      </c>
      <c r="L34" s="130">
        <v>410</v>
      </c>
      <c r="M34" s="130">
        <v>411</v>
      </c>
      <c r="N34" s="710">
        <v>412</v>
      </c>
      <c r="O34" s="711"/>
      <c r="P34" s="130">
        <v>413</v>
      </c>
      <c r="Q34" s="130">
        <v>414</v>
      </c>
      <c r="R34" s="130">
        <v>415</v>
      </c>
      <c r="S34" s="130">
        <v>416</v>
      </c>
      <c r="T34" s="130">
        <v>417</v>
      </c>
      <c r="U34" s="130">
        <v>418</v>
      </c>
      <c r="V34" s="130">
        <v>419</v>
      </c>
      <c r="W34" s="130">
        <v>420</v>
      </c>
    </row>
    <row r="35" spans="3:23" ht="15.75" customHeight="1">
      <c r="C35" s="130">
        <v>421</v>
      </c>
      <c r="D35" s="130">
        <v>422</v>
      </c>
      <c r="E35" s="130">
        <v>423</v>
      </c>
      <c r="F35" s="130">
        <v>424</v>
      </c>
      <c r="G35" s="130">
        <v>425</v>
      </c>
      <c r="H35" s="130">
        <v>426</v>
      </c>
      <c r="I35" s="130">
        <v>427</v>
      </c>
      <c r="J35" s="130">
        <v>428</v>
      </c>
      <c r="K35" s="130">
        <v>429</v>
      </c>
      <c r="L35" s="130">
        <v>430</v>
      </c>
      <c r="M35" s="130">
        <v>431</v>
      </c>
      <c r="N35" s="710">
        <v>432</v>
      </c>
      <c r="O35" s="711"/>
      <c r="P35" s="130">
        <v>433</v>
      </c>
      <c r="Q35" s="130">
        <v>434</v>
      </c>
      <c r="R35" s="130">
        <v>435</v>
      </c>
      <c r="S35" s="130">
        <v>436</v>
      </c>
      <c r="T35" s="130">
        <v>437</v>
      </c>
      <c r="U35" s="130">
        <v>438</v>
      </c>
      <c r="V35" s="130">
        <v>439</v>
      </c>
      <c r="W35" s="130">
        <v>440</v>
      </c>
    </row>
    <row r="36" spans="3:23" ht="15.75" customHeight="1">
      <c r="C36" s="130">
        <v>441</v>
      </c>
      <c r="D36" s="130">
        <v>442</v>
      </c>
      <c r="E36" s="130">
        <v>443</v>
      </c>
      <c r="F36" s="130">
        <v>444</v>
      </c>
      <c r="G36" s="130">
        <v>445</v>
      </c>
      <c r="H36" s="130">
        <v>446</v>
      </c>
      <c r="I36" s="130">
        <v>447</v>
      </c>
      <c r="J36" s="130">
        <v>448</v>
      </c>
      <c r="K36" s="130">
        <v>449</v>
      </c>
      <c r="L36" s="130">
        <v>450</v>
      </c>
      <c r="M36" s="130">
        <v>451</v>
      </c>
      <c r="N36" s="710">
        <v>452</v>
      </c>
      <c r="O36" s="711"/>
      <c r="P36" s="130">
        <v>453</v>
      </c>
      <c r="Q36" s="130">
        <v>454</v>
      </c>
      <c r="R36" s="130">
        <v>455</v>
      </c>
      <c r="S36" s="130">
        <v>456</v>
      </c>
      <c r="T36" s="130">
        <v>457</v>
      </c>
      <c r="U36" s="130">
        <v>458</v>
      </c>
      <c r="V36" s="130">
        <v>459</v>
      </c>
      <c r="W36" s="130">
        <v>460</v>
      </c>
    </row>
    <row r="37" spans="3:23" ht="15.75" customHeight="1">
      <c r="C37" s="130">
        <v>461</v>
      </c>
      <c r="D37" s="130">
        <v>462</v>
      </c>
      <c r="E37" s="130">
        <v>463</v>
      </c>
      <c r="F37" s="130">
        <v>464</v>
      </c>
      <c r="G37" s="130">
        <v>465</v>
      </c>
      <c r="H37" s="130">
        <v>466</v>
      </c>
      <c r="I37" s="130">
        <v>467</v>
      </c>
      <c r="J37" s="130">
        <v>468</v>
      </c>
      <c r="K37" s="130">
        <v>469</v>
      </c>
      <c r="L37" s="130">
        <v>470</v>
      </c>
      <c r="M37" s="130">
        <v>471</v>
      </c>
      <c r="N37" s="710">
        <v>472</v>
      </c>
      <c r="O37" s="711"/>
      <c r="P37" s="130">
        <v>473</v>
      </c>
      <c r="Q37" s="130">
        <v>474</v>
      </c>
      <c r="R37" s="130">
        <v>475</v>
      </c>
      <c r="S37" s="130">
        <v>476</v>
      </c>
      <c r="T37" s="130">
        <v>477</v>
      </c>
      <c r="U37" s="130">
        <v>478</v>
      </c>
      <c r="V37" s="130">
        <v>479</v>
      </c>
      <c r="W37" s="130">
        <v>480</v>
      </c>
    </row>
    <row r="38" spans="3:23" ht="15.75" customHeight="1">
      <c r="C38" s="130">
        <v>481</v>
      </c>
      <c r="D38" s="130">
        <v>482</v>
      </c>
      <c r="E38" s="130">
        <v>483</v>
      </c>
      <c r="F38" s="130">
        <v>484</v>
      </c>
      <c r="G38" s="130">
        <v>485</v>
      </c>
      <c r="H38" s="130">
        <v>486</v>
      </c>
      <c r="I38" s="130">
        <v>487</v>
      </c>
      <c r="J38" s="130">
        <v>488</v>
      </c>
      <c r="K38" s="130">
        <v>489</v>
      </c>
      <c r="L38" s="130">
        <v>490</v>
      </c>
      <c r="M38" s="130">
        <v>491</v>
      </c>
      <c r="N38" s="710">
        <v>492</v>
      </c>
      <c r="O38" s="711"/>
      <c r="P38" s="130">
        <v>493</v>
      </c>
      <c r="Q38" s="130">
        <v>494</v>
      </c>
      <c r="R38" s="130">
        <v>495</v>
      </c>
      <c r="S38" s="130">
        <v>496</v>
      </c>
      <c r="T38" s="130">
        <v>497</v>
      </c>
      <c r="U38" s="130">
        <v>498</v>
      </c>
      <c r="V38" s="130">
        <v>499</v>
      </c>
      <c r="W38" s="130">
        <v>500</v>
      </c>
    </row>
    <row r="39" spans="3:23" ht="15.75" customHeight="1">
      <c r="C39" s="130">
        <v>501</v>
      </c>
      <c r="D39" s="130">
        <v>502</v>
      </c>
      <c r="E39" s="130">
        <v>503</v>
      </c>
      <c r="F39" s="130">
        <v>504</v>
      </c>
      <c r="G39" s="130">
        <v>505</v>
      </c>
      <c r="H39" s="130">
        <v>506</v>
      </c>
      <c r="I39" s="130">
        <v>507</v>
      </c>
      <c r="J39" s="130">
        <v>508</v>
      </c>
      <c r="K39" s="130">
        <v>509</v>
      </c>
      <c r="L39" s="130">
        <v>510</v>
      </c>
      <c r="M39" s="130">
        <v>511</v>
      </c>
      <c r="N39" s="710">
        <v>512</v>
      </c>
      <c r="O39" s="711"/>
      <c r="P39" s="130">
        <v>513</v>
      </c>
      <c r="Q39" s="130">
        <v>514</v>
      </c>
      <c r="R39" s="130">
        <v>515</v>
      </c>
      <c r="S39" s="130">
        <v>516</v>
      </c>
      <c r="T39" s="130">
        <v>517</v>
      </c>
      <c r="U39" s="130">
        <v>518</v>
      </c>
      <c r="V39" s="130">
        <v>519</v>
      </c>
      <c r="W39" s="130">
        <v>520</v>
      </c>
    </row>
    <row r="40" spans="3:23" ht="15.75" customHeight="1">
      <c r="C40" s="130">
        <v>521</v>
      </c>
      <c r="D40" s="130">
        <v>522</v>
      </c>
      <c r="E40" s="130">
        <v>523</v>
      </c>
      <c r="F40" s="130">
        <v>524</v>
      </c>
      <c r="G40" s="130">
        <v>525</v>
      </c>
      <c r="H40" s="130">
        <v>526</v>
      </c>
      <c r="I40" s="130">
        <v>527</v>
      </c>
      <c r="J40" s="130">
        <v>528</v>
      </c>
      <c r="K40" s="130">
        <v>529</v>
      </c>
      <c r="L40" s="130">
        <v>530</v>
      </c>
      <c r="M40" s="130">
        <v>531</v>
      </c>
      <c r="N40" s="710">
        <v>532</v>
      </c>
      <c r="O40" s="711"/>
      <c r="P40" s="130">
        <v>533</v>
      </c>
      <c r="Q40" s="130">
        <v>534</v>
      </c>
      <c r="R40" s="130">
        <v>535</v>
      </c>
      <c r="S40" s="130">
        <v>536</v>
      </c>
      <c r="T40" s="130">
        <v>537</v>
      </c>
      <c r="U40" s="130">
        <v>538</v>
      </c>
      <c r="V40" s="130">
        <v>539</v>
      </c>
      <c r="W40" s="130">
        <v>540</v>
      </c>
    </row>
    <row r="41" spans="3:23" ht="15.75" customHeight="1">
      <c r="C41" s="130">
        <v>541</v>
      </c>
      <c r="D41" s="130">
        <v>542</v>
      </c>
      <c r="E41" s="130">
        <v>543</v>
      </c>
      <c r="F41" s="130">
        <v>544</v>
      </c>
      <c r="G41" s="130">
        <v>545</v>
      </c>
      <c r="H41" s="130">
        <v>546</v>
      </c>
      <c r="I41" s="130">
        <v>547</v>
      </c>
      <c r="J41" s="130">
        <v>548</v>
      </c>
      <c r="K41" s="130">
        <v>549</v>
      </c>
      <c r="L41" s="130">
        <v>550</v>
      </c>
      <c r="M41" s="130">
        <v>551</v>
      </c>
      <c r="N41" s="710">
        <v>552</v>
      </c>
      <c r="O41" s="711"/>
      <c r="P41" s="130">
        <v>553</v>
      </c>
      <c r="Q41" s="130">
        <v>554</v>
      </c>
      <c r="R41" s="130">
        <v>555</v>
      </c>
      <c r="S41" s="130">
        <v>556</v>
      </c>
      <c r="T41" s="130">
        <v>557</v>
      </c>
      <c r="U41" s="130">
        <v>558</v>
      </c>
      <c r="V41" s="130">
        <v>559</v>
      </c>
      <c r="W41" s="130">
        <v>560</v>
      </c>
    </row>
    <row r="42" spans="3:23" ht="15.75" customHeight="1">
      <c r="C42" s="130">
        <v>561</v>
      </c>
      <c r="D42" s="130">
        <v>562</v>
      </c>
      <c r="E42" s="130">
        <v>563</v>
      </c>
      <c r="F42" s="130">
        <v>564</v>
      </c>
      <c r="G42" s="130">
        <v>565</v>
      </c>
      <c r="H42" s="130">
        <v>566</v>
      </c>
      <c r="I42" s="130">
        <v>567</v>
      </c>
      <c r="J42" s="130">
        <v>568</v>
      </c>
      <c r="K42" s="130">
        <v>569</v>
      </c>
      <c r="L42" s="130">
        <v>570</v>
      </c>
      <c r="M42" s="130">
        <v>571</v>
      </c>
      <c r="N42" s="710">
        <v>572</v>
      </c>
      <c r="O42" s="711"/>
      <c r="P42" s="130">
        <v>573</v>
      </c>
      <c r="Q42" s="130">
        <v>574</v>
      </c>
      <c r="R42" s="130">
        <v>575</v>
      </c>
      <c r="S42" s="130">
        <v>576</v>
      </c>
      <c r="T42" s="130">
        <v>577</v>
      </c>
      <c r="U42" s="130">
        <v>578</v>
      </c>
      <c r="V42" s="130">
        <v>579</v>
      </c>
      <c r="W42" s="130">
        <v>580</v>
      </c>
    </row>
    <row r="43" spans="3:23" ht="15.75" customHeight="1">
      <c r="C43" s="130">
        <v>581</v>
      </c>
      <c r="D43" s="130">
        <v>582</v>
      </c>
      <c r="E43" s="130">
        <v>583</v>
      </c>
      <c r="F43" s="130">
        <v>584</v>
      </c>
      <c r="G43" s="130">
        <v>585</v>
      </c>
      <c r="H43" s="130">
        <v>586</v>
      </c>
      <c r="I43" s="130">
        <v>587</v>
      </c>
      <c r="J43" s="130">
        <v>588</v>
      </c>
      <c r="K43" s="130">
        <v>589</v>
      </c>
      <c r="L43" s="130">
        <v>590</v>
      </c>
      <c r="M43" s="130">
        <v>591</v>
      </c>
      <c r="N43" s="710">
        <v>592</v>
      </c>
      <c r="O43" s="711"/>
      <c r="P43" s="130">
        <v>593</v>
      </c>
      <c r="Q43" s="130">
        <v>594</v>
      </c>
      <c r="R43" s="130">
        <v>595</v>
      </c>
      <c r="S43" s="130">
        <v>596</v>
      </c>
      <c r="T43" s="130">
        <v>597</v>
      </c>
      <c r="U43" s="130">
        <v>598</v>
      </c>
      <c r="V43" s="130">
        <v>599</v>
      </c>
      <c r="W43" s="130">
        <v>600</v>
      </c>
    </row>
    <row r="44" spans="3:23" ht="15.75" customHeight="1">
      <c r="C44" s="130">
        <v>601</v>
      </c>
      <c r="D44" s="130">
        <v>602</v>
      </c>
      <c r="E44" s="130">
        <v>603</v>
      </c>
      <c r="F44" s="130">
        <v>604</v>
      </c>
      <c r="G44" s="130">
        <v>605</v>
      </c>
      <c r="H44" s="130">
        <v>606</v>
      </c>
      <c r="I44" s="130">
        <v>607</v>
      </c>
      <c r="J44" s="130">
        <v>608</v>
      </c>
      <c r="K44" s="130">
        <v>609</v>
      </c>
      <c r="L44" s="130">
        <v>610</v>
      </c>
      <c r="M44" s="130">
        <v>611</v>
      </c>
      <c r="N44" s="710">
        <v>612</v>
      </c>
      <c r="O44" s="711"/>
      <c r="P44" s="130">
        <v>613</v>
      </c>
      <c r="Q44" s="130">
        <v>614</v>
      </c>
      <c r="R44" s="130">
        <v>615</v>
      </c>
      <c r="S44" s="130">
        <v>616</v>
      </c>
      <c r="T44" s="130">
        <v>617</v>
      </c>
      <c r="U44" s="130">
        <v>618</v>
      </c>
      <c r="V44" s="130">
        <v>619</v>
      </c>
      <c r="W44" s="130">
        <v>620</v>
      </c>
    </row>
    <row r="45" spans="3:23" ht="15.75" customHeight="1">
      <c r="C45" s="130">
        <v>621</v>
      </c>
      <c r="D45" s="130">
        <v>622</v>
      </c>
      <c r="E45" s="130">
        <v>623</v>
      </c>
      <c r="F45" s="130">
        <v>624</v>
      </c>
      <c r="G45" s="130">
        <v>625</v>
      </c>
      <c r="H45" s="130">
        <v>626</v>
      </c>
      <c r="I45" s="130">
        <v>627</v>
      </c>
      <c r="J45" s="130">
        <v>628</v>
      </c>
      <c r="K45" s="130">
        <v>629</v>
      </c>
      <c r="L45" s="130">
        <v>630</v>
      </c>
      <c r="M45" s="130">
        <v>631</v>
      </c>
      <c r="N45" s="710">
        <v>632</v>
      </c>
      <c r="O45" s="711"/>
      <c r="P45" s="130">
        <v>633</v>
      </c>
      <c r="Q45" s="130">
        <v>634</v>
      </c>
      <c r="R45" s="130">
        <v>635</v>
      </c>
      <c r="S45" s="130">
        <v>636</v>
      </c>
      <c r="T45" s="130">
        <v>637</v>
      </c>
      <c r="U45" s="130">
        <v>638</v>
      </c>
      <c r="V45" s="130">
        <v>639</v>
      </c>
      <c r="W45" s="130">
        <v>640</v>
      </c>
    </row>
    <row r="46" spans="3:23" ht="15.75" customHeight="1">
      <c r="C46" s="130">
        <v>641</v>
      </c>
      <c r="D46" s="130">
        <v>642</v>
      </c>
      <c r="E46" s="130">
        <v>643</v>
      </c>
      <c r="F46" s="130">
        <v>644</v>
      </c>
      <c r="G46" s="130">
        <v>645</v>
      </c>
      <c r="H46" s="130">
        <v>646</v>
      </c>
      <c r="I46" s="130">
        <v>647</v>
      </c>
      <c r="J46" s="130">
        <v>648</v>
      </c>
      <c r="K46" s="130">
        <v>649</v>
      </c>
      <c r="L46" s="130">
        <v>650</v>
      </c>
      <c r="M46" s="130">
        <v>651</v>
      </c>
      <c r="N46" s="710">
        <v>652</v>
      </c>
      <c r="O46" s="711"/>
      <c r="P46" s="130">
        <v>653</v>
      </c>
      <c r="Q46" s="130">
        <v>654</v>
      </c>
      <c r="R46" s="130">
        <v>655</v>
      </c>
      <c r="S46" s="130">
        <v>656</v>
      </c>
      <c r="T46" s="130">
        <v>657</v>
      </c>
      <c r="U46" s="130">
        <v>658</v>
      </c>
      <c r="V46" s="130">
        <v>659</v>
      </c>
      <c r="W46" s="130">
        <v>660</v>
      </c>
    </row>
    <row r="47" spans="3:23" ht="15.75" customHeight="1">
      <c r="C47" s="130">
        <v>661</v>
      </c>
      <c r="D47" s="130">
        <v>662</v>
      </c>
      <c r="E47" s="130">
        <v>663</v>
      </c>
      <c r="F47" s="130">
        <v>664</v>
      </c>
      <c r="G47" s="130">
        <v>665</v>
      </c>
      <c r="H47" s="130">
        <v>666</v>
      </c>
      <c r="I47" s="130">
        <v>667</v>
      </c>
      <c r="J47" s="130">
        <v>668</v>
      </c>
      <c r="K47" s="130">
        <v>669</v>
      </c>
      <c r="L47" s="130">
        <v>670</v>
      </c>
      <c r="M47" s="130">
        <v>671</v>
      </c>
      <c r="N47" s="710">
        <v>672</v>
      </c>
      <c r="O47" s="711"/>
      <c r="P47" s="130">
        <v>673</v>
      </c>
      <c r="Q47" s="130">
        <v>674</v>
      </c>
      <c r="R47" s="130">
        <v>675</v>
      </c>
      <c r="S47" s="130">
        <v>676</v>
      </c>
      <c r="T47" s="130">
        <v>677</v>
      </c>
      <c r="U47" s="130">
        <v>678</v>
      </c>
      <c r="V47" s="130">
        <v>679</v>
      </c>
      <c r="W47" s="130">
        <v>680</v>
      </c>
    </row>
    <row r="48" spans="3:23" ht="15.75" customHeight="1">
      <c r="C48" s="130">
        <v>681</v>
      </c>
      <c r="D48" s="130">
        <v>682</v>
      </c>
      <c r="E48" s="130">
        <v>683</v>
      </c>
      <c r="F48" s="130">
        <v>684</v>
      </c>
      <c r="G48" s="130">
        <v>685</v>
      </c>
      <c r="H48" s="130">
        <v>686</v>
      </c>
      <c r="I48" s="130">
        <v>687</v>
      </c>
      <c r="J48" s="130">
        <v>688</v>
      </c>
      <c r="K48" s="130">
        <v>689</v>
      </c>
      <c r="L48" s="130">
        <v>690</v>
      </c>
      <c r="M48" s="130">
        <v>691</v>
      </c>
      <c r="N48" s="710">
        <v>692</v>
      </c>
      <c r="O48" s="711"/>
      <c r="P48" s="130">
        <v>693</v>
      </c>
      <c r="Q48" s="130">
        <v>694</v>
      </c>
      <c r="R48" s="130">
        <v>695</v>
      </c>
      <c r="S48" s="130">
        <v>696</v>
      </c>
      <c r="T48" s="130">
        <v>697</v>
      </c>
      <c r="U48" s="130">
        <v>698</v>
      </c>
      <c r="V48" s="130">
        <v>699</v>
      </c>
      <c r="W48" s="130">
        <v>700</v>
      </c>
    </row>
    <row r="49" spans="3:23" ht="15" customHeight="1">
      <c r="C49" s="130">
        <v>701</v>
      </c>
      <c r="D49" s="130">
        <v>702</v>
      </c>
      <c r="E49" s="130">
        <v>703</v>
      </c>
      <c r="F49" s="130">
        <v>704</v>
      </c>
      <c r="G49" s="130">
        <v>705</v>
      </c>
      <c r="H49" s="130">
        <v>706</v>
      </c>
      <c r="I49" s="130">
        <v>707</v>
      </c>
      <c r="J49" s="130">
        <v>708</v>
      </c>
      <c r="K49" s="130">
        <v>709</v>
      </c>
      <c r="L49" s="130">
        <v>710</v>
      </c>
      <c r="M49" s="130">
        <v>711</v>
      </c>
      <c r="N49" s="710">
        <v>712</v>
      </c>
      <c r="O49" s="711"/>
      <c r="P49" s="130">
        <v>713</v>
      </c>
      <c r="Q49" s="130">
        <v>714</v>
      </c>
      <c r="R49" s="130">
        <v>715</v>
      </c>
      <c r="S49" s="130">
        <v>716</v>
      </c>
      <c r="T49" s="130">
        <v>717</v>
      </c>
      <c r="U49" s="130">
        <v>718</v>
      </c>
      <c r="V49" s="130">
        <v>719</v>
      </c>
      <c r="W49" s="130">
        <v>720</v>
      </c>
    </row>
    <row r="50" spans="3:23" ht="15" customHeight="1">
      <c r="C50" s="130">
        <v>721</v>
      </c>
      <c r="D50" s="130">
        <v>722</v>
      </c>
      <c r="E50" s="130">
        <v>723</v>
      </c>
      <c r="F50" s="130">
        <v>724</v>
      </c>
      <c r="G50" s="130">
        <v>725</v>
      </c>
      <c r="H50" s="130">
        <v>726</v>
      </c>
      <c r="I50" s="130">
        <v>727</v>
      </c>
      <c r="J50" s="130">
        <v>728</v>
      </c>
      <c r="K50" s="130">
        <v>729</v>
      </c>
      <c r="L50" s="130">
        <v>730</v>
      </c>
      <c r="M50" s="130">
        <v>731</v>
      </c>
      <c r="N50" s="710">
        <v>732</v>
      </c>
      <c r="O50" s="711"/>
      <c r="P50" s="130">
        <v>733</v>
      </c>
      <c r="Q50" s="130">
        <v>734</v>
      </c>
      <c r="R50" s="130">
        <v>735</v>
      </c>
      <c r="S50" s="130">
        <v>736</v>
      </c>
      <c r="T50" s="130">
        <v>737</v>
      </c>
      <c r="U50" s="130">
        <v>738</v>
      </c>
      <c r="V50" s="130">
        <v>739</v>
      </c>
      <c r="W50" s="130">
        <v>740</v>
      </c>
    </row>
    <row r="51" spans="3:23" ht="15" customHeight="1">
      <c r="C51" s="130">
        <v>741</v>
      </c>
      <c r="D51" s="130">
        <v>742</v>
      </c>
      <c r="E51" s="130">
        <v>743</v>
      </c>
      <c r="F51" s="130">
        <v>744</v>
      </c>
      <c r="G51" s="130">
        <v>745</v>
      </c>
      <c r="H51" s="130">
        <v>746</v>
      </c>
      <c r="I51" s="130">
        <v>747</v>
      </c>
      <c r="J51" s="130">
        <v>748</v>
      </c>
      <c r="K51" s="130">
        <v>749</v>
      </c>
      <c r="L51" s="130">
        <v>750</v>
      </c>
      <c r="M51" s="130">
        <v>751</v>
      </c>
      <c r="N51" s="710">
        <v>752</v>
      </c>
      <c r="O51" s="711"/>
      <c r="P51" s="130">
        <v>753</v>
      </c>
      <c r="Q51" s="130">
        <v>754</v>
      </c>
      <c r="R51" s="130">
        <v>755</v>
      </c>
      <c r="S51" s="130">
        <v>756</v>
      </c>
      <c r="T51" s="130">
        <v>757</v>
      </c>
      <c r="U51" s="130">
        <v>758</v>
      </c>
      <c r="V51" s="130">
        <v>759</v>
      </c>
      <c r="W51" s="130">
        <v>760</v>
      </c>
    </row>
    <row r="52" spans="3:23" ht="15" customHeight="1">
      <c r="C52" s="130">
        <v>761</v>
      </c>
      <c r="D52" s="130">
        <v>762</v>
      </c>
      <c r="E52" s="130">
        <v>763</v>
      </c>
      <c r="F52" s="130">
        <v>764</v>
      </c>
      <c r="G52" s="130">
        <v>765</v>
      </c>
      <c r="H52" s="130">
        <v>766</v>
      </c>
      <c r="I52" s="130">
        <v>767</v>
      </c>
      <c r="J52" s="130">
        <v>768</v>
      </c>
      <c r="K52" s="130">
        <v>769</v>
      </c>
      <c r="L52" s="130">
        <v>770</v>
      </c>
      <c r="M52" s="130">
        <v>771</v>
      </c>
      <c r="N52" s="710">
        <v>772</v>
      </c>
      <c r="O52" s="711"/>
      <c r="P52" s="130">
        <v>773</v>
      </c>
      <c r="Q52" s="130">
        <v>774</v>
      </c>
      <c r="R52" s="130">
        <v>775</v>
      </c>
      <c r="S52" s="130">
        <v>776</v>
      </c>
      <c r="T52" s="130">
        <v>777</v>
      </c>
      <c r="U52" s="130">
        <v>778</v>
      </c>
      <c r="V52" s="130">
        <v>779</v>
      </c>
      <c r="W52" s="130">
        <v>780</v>
      </c>
    </row>
    <row r="53" spans="3:23" ht="15" customHeight="1">
      <c r="C53" s="130">
        <v>781</v>
      </c>
      <c r="D53" s="130">
        <v>782</v>
      </c>
      <c r="E53" s="130">
        <v>783</v>
      </c>
      <c r="F53" s="130">
        <v>784</v>
      </c>
      <c r="G53" s="130">
        <v>785</v>
      </c>
      <c r="H53" s="130">
        <v>786</v>
      </c>
      <c r="I53" s="130">
        <v>787</v>
      </c>
      <c r="J53" s="130">
        <v>788</v>
      </c>
      <c r="K53" s="130">
        <v>789</v>
      </c>
      <c r="L53" s="130">
        <v>790</v>
      </c>
      <c r="M53" s="130">
        <v>791</v>
      </c>
      <c r="N53" s="710">
        <v>792</v>
      </c>
      <c r="O53" s="711"/>
      <c r="P53" s="130">
        <v>793</v>
      </c>
      <c r="Q53" s="130">
        <v>794</v>
      </c>
      <c r="R53" s="130">
        <v>795</v>
      </c>
      <c r="S53" s="130">
        <v>796</v>
      </c>
      <c r="T53" s="130">
        <v>797</v>
      </c>
      <c r="U53" s="130">
        <v>798</v>
      </c>
      <c r="V53" s="130">
        <v>799</v>
      </c>
      <c r="W53" s="130">
        <v>800</v>
      </c>
    </row>
    <row r="54" spans="3:23" ht="15" customHeight="1">
      <c r="C54" s="130">
        <v>801</v>
      </c>
      <c r="D54" s="130">
        <v>802</v>
      </c>
      <c r="E54" s="130">
        <v>803</v>
      </c>
      <c r="F54" s="130">
        <v>804</v>
      </c>
      <c r="G54" s="130">
        <v>805</v>
      </c>
      <c r="H54" s="130">
        <v>806</v>
      </c>
      <c r="I54" s="130">
        <v>807</v>
      </c>
      <c r="J54" s="130">
        <v>808</v>
      </c>
      <c r="K54" s="130">
        <v>809</v>
      </c>
      <c r="L54" s="130">
        <v>810</v>
      </c>
      <c r="M54" s="130">
        <v>811</v>
      </c>
      <c r="N54" s="710">
        <v>812</v>
      </c>
      <c r="O54" s="711"/>
      <c r="P54" s="130">
        <v>813</v>
      </c>
      <c r="Q54" s="130">
        <v>814</v>
      </c>
      <c r="R54" s="130">
        <v>815</v>
      </c>
      <c r="S54" s="130">
        <v>816</v>
      </c>
      <c r="T54" s="130">
        <v>817</v>
      </c>
      <c r="U54" s="130">
        <v>818</v>
      </c>
      <c r="V54" s="130">
        <v>819</v>
      </c>
      <c r="W54" s="130">
        <v>820</v>
      </c>
    </row>
    <row r="55" spans="3:23" ht="15" customHeight="1">
      <c r="C55" s="130">
        <v>821</v>
      </c>
      <c r="D55" s="130">
        <v>822</v>
      </c>
      <c r="E55" s="130">
        <v>823</v>
      </c>
      <c r="F55" s="130">
        <v>824</v>
      </c>
      <c r="G55" s="130">
        <v>825</v>
      </c>
      <c r="H55" s="130">
        <v>826</v>
      </c>
      <c r="I55" s="130">
        <v>827</v>
      </c>
      <c r="J55" s="130">
        <v>828</v>
      </c>
      <c r="K55" s="130">
        <v>829</v>
      </c>
      <c r="L55" s="130">
        <v>830</v>
      </c>
      <c r="M55" s="130">
        <v>831</v>
      </c>
      <c r="N55" s="710">
        <v>832</v>
      </c>
      <c r="O55" s="711"/>
      <c r="P55" s="130">
        <v>833</v>
      </c>
      <c r="Q55" s="130">
        <v>834</v>
      </c>
      <c r="R55" s="130">
        <v>835</v>
      </c>
      <c r="S55" s="130">
        <v>836</v>
      </c>
      <c r="T55" s="130">
        <v>837</v>
      </c>
      <c r="U55" s="130">
        <v>838</v>
      </c>
      <c r="V55" s="130">
        <v>839</v>
      </c>
      <c r="W55" s="130">
        <v>840</v>
      </c>
    </row>
    <row r="56" spans="3:23" ht="15" customHeight="1">
      <c r="C56" s="130">
        <v>841</v>
      </c>
      <c r="D56" s="130">
        <v>842</v>
      </c>
      <c r="E56" s="130">
        <v>843</v>
      </c>
      <c r="F56" s="130">
        <v>844</v>
      </c>
      <c r="G56" s="130">
        <v>845</v>
      </c>
      <c r="H56" s="130">
        <v>846</v>
      </c>
      <c r="I56" s="130">
        <v>847</v>
      </c>
      <c r="J56" s="130">
        <v>848</v>
      </c>
      <c r="K56" s="130">
        <v>849</v>
      </c>
      <c r="L56" s="130">
        <v>850</v>
      </c>
      <c r="M56" s="130">
        <v>851</v>
      </c>
      <c r="N56" s="710">
        <v>852</v>
      </c>
      <c r="O56" s="711"/>
      <c r="P56" s="130">
        <v>853</v>
      </c>
      <c r="Q56" s="130">
        <v>854</v>
      </c>
      <c r="R56" s="130">
        <v>855</v>
      </c>
      <c r="S56" s="130">
        <v>856</v>
      </c>
      <c r="T56" s="130">
        <v>857</v>
      </c>
      <c r="U56" s="130">
        <v>858</v>
      </c>
      <c r="V56" s="130">
        <v>859</v>
      </c>
      <c r="W56" s="130">
        <v>860</v>
      </c>
    </row>
    <row r="57" spans="3:23" ht="15" customHeight="1">
      <c r="C57" s="130">
        <v>861</v>
      </c>
      <c r="D57" s="130">
        <v>862</v>
      </c>
      <c r="E57" s="130">
        <v>863</v>
      </c>
      <c r="F57" s="130">
        <v>864</v>
      </c>
      <c r="G57" s="130">
        <v>865</v>
      </c>
      <c r="H57" s="130">
        <v>866</v>
      </c>
      <c r="I57" s="130">
        <v>867</v>
      </c>
      <c r="J57" s="130">
        <v>868</v>
      </c>
      <c r="K57" s="130">
        <v>869</v>
      </c>
      <c r="L57" s="130">
        <v>870</v>
      </c>
      <c r="M57" s="130">
        <v>871</v>
      </c>
      <c r="N57" s="710">
        <v>872</v>
      </c>
      <c r="O57" s="711"/>
      <c r="P57" s="130">
        <v>873</v>
      </c>
      <c r="Q57" s="130">
        <v>874</v>
      </c>
      <c r="R57" s="130">
        <v>875</v>
      </c>
      <c r="S57" s="130">
        <v>876</v>
      </c>
      <c r="T57" s="130">
        <v>877</v>
      </c>
      <c r="U57" s="130">
        <v>878</v>
      </c>
      <c r="V57" s="130">
        <v>879</v>
      </c>
      <c r="W57" s="130">
        <v>880</v>
      </c>
    </row>
    <row r="58" spans="3:23" ht="15" customHeight="1">
      <c r="C58" s="130">
        <v>881</v>
      </c>
      <c r="D58" s="130">
        <v>882</v>
      </c>
      <c r="E58" s="130">
        <v>883</v>
      </c>
      <c r="F58" s="130">
        <v>884</v>
      </c>
      <c r="G58" s="130">
        <v>885</v>
      </c>
      <c r="H58" s="130">
        <v>886</v>
      </c>
      <c r="I58" s="130">
        <v>887</v>
      </c>
      <c r="J58" s="130">
        <v>888</v>
      </c>
      <c r="K58" s="130">
        <v>889</v>
      </c>
      <c r="L58" s="130">
        <v>890</v>
      </c>
      <c r="M58" s="130">
        <v>891</v>
      </c>
      <c r="N58" s="710">
        <v>892</v>
      </c>
      <c r="O58" s="711"/>
      <c r="P58" s="130">
        <v>893</v>
      </c>
      <c r="Q58" s="130">
        <v>894</v>
      </c>
      <c r="R58" s="130">
        <v>895</v>
      </c>
      <c r="S58" s="130">
        <v>896</v>
      </c>
      <c r="T58" s="130">
        <v>897</v>
      </c>
      <c r="U58" s="130">
        <v>898</v>
      </c>
      <c r="V58" s="130">
        <v>899</v>
      </c>
      <c r="W58" s="130">
        <v>900</v>
      </c>
    </row>
    <row r="59" spans="3:23" ht="15" customHeight="1">
      <c r="C59" s="130">
        <v>901</v>
      </c>
      <c r="D59" s="130">
        <v>902</v>
      </c>
      <c r="E59" s="130">
        <v>903</v>
      </c>
      <c r="F59" s="130">
        <v>904</v>
      </c>
      <c r="G59" s="130">
        <v>905</v>
      </c>
      <c r="H59" s="130">
        <v>906</v>
      </c>
      <c r="I59" s="130">
        <v>907</v>
      </c>
      <c r="J59" s="130">
        <v>908</v>
      </c>
      <c r="K59" s="130">
        <v>909</v>
      </c>
      <c r="L59" s="130">
        <v>910</v>
      </c>
      <c r="M59" s="130">
        <v>911</v>
      </c>
      <c r="N59" s="710">
        <v>912</v>
      </c>
      <c r="O59" s="711"/>
      <c r="P59" s="130">
        <v>913</v>
      </c>
      <c r="Q59" s="130">
        <v>914</v>
      </c>
      <c r="R59" s="130">
        <v>915</v>
      </c>
      <c r="S59" s="130">
        <v>916</v>
      </c>
      <c r="T59" s="130">
        <v>917</v>
      </c>
      <c r="U59" s="130">
        <v>918</v>
      </c>
      <c r="V59" s="130">
        <v>919</v>
      </c>
      <c r="W59" s="130">
        <v>920</v>
      </c>
    </row>
    <row r="60" spans="3:23" ht="15" customHeight="1">
      <c r="C60" s="130">
        <v>921</v>
      </c>
      <c r="D60" s="130">
        <v>922</v>
      </c>
      <c r="E60" s="130">
        <v>923</v>
      </c>
      <c r="F60" s="130">
        <v>924</v>
      </c>
      <c r="G60" s="130">
        <v>925</v>
      </c>
      <c r="H60" s="130">
        <v>926</v>
      </c>
      <c r="I60" s="130">
        <v>927</v>
      </c>
      <c r="J60" s="130">
        <v>928</v>
      </c>
      <c r="K60" s="130">
        <v>929</v>
      </c>
      <c r="L60" s="130">
        <v>930</v>
      </c>
      <c r="M60" s="130">
        <v>931</v>
      </c>
      <c r="N60" s="710">
        <v>932</v>
      </c>
      <c r="O60" s="711"/>
      <c r="P60" s="130">
        <v>933</v>
      </c>
      <c r="Q60" s="130">
        <v>934</v>
      </c>
      <c r="R60" s="130">
        <v>935</v>
      </c>
      <c r="S60" s="130">
        <v>936</v>
      </c>
      <c r="T60" s="130">
        <v>937</v>
      </c>
      <c r="U60" s="130">
        <v>938</v>
      </c>
      <c r="V60" s="130">
        <v>939</v>
      </c>
      <c r="W60" s="130">
        <v>940</v>
      </c>
    </row>
    <row r="61" spans="3:23" ht="15" customHeight="1">
      <c r="C61" s="130">
        <v>941</v>
      </c>
      <c r="D61" s="130">
        <v>942</v>
      </c>
      <c r="E61" s="130">
        <v>943</v>
      </c>
      <c r="F61" s="130">
        <v>944</v>
      </c>
      <c r="G61" s="130">
        <v>945</v>
      </c>
      <c r="H61" s="130">
        <v>946</v>
      </c>
      <c r="I61" s="130">
        <v>947</v>
      </c>
      <c r="J61" s="130">
        <v>948</v>
      </c>
      <c r="K61" s="130">
        <v>949</v>
      </c>
      <c r="L61" s="130">
        <v>950</v>
      </c>
      <c r="M61" s="130">
        <v>951</v>
      </c>
      <c r="N61" s="710">
        <v>952</v>
      </c>
      <c r="O61" s="711"/>
      <c r="P61" s="130">
        <v>953</v>
      </c>
      <c r="Q61" s="130">
        <v>954</v>
      </c>
      <c r="R61" s="130">
        <v>955</v>
      </c>
      <c r="S61" s="130">
        <v>956</v>
      </c>
      <c r="T61" s="130">
        <v>957</v>
      </c>
      <c r="U61" s="130">
        <v>958</v>
      </c>
      <c r="V61" s="130">
        <v>959</v>
      </c>
      <c r="W61" s="130">
        <v>960</v>
      </c>
    </row>
    <row r="62" spans="3:23" ht="15" customHeight="1">
      <c r="C62" s="130">
        <v>961</v>
      </c>
      <c r="D62" s="130">
        <v>962</v>
      </c>
      <c r="E62" s="130">
        <v>963</v>
      </c>
      <c r="F62" s="130">
        <v>964</v>
      </c>
      <c r="G62" s="130">
        <v>965</v>
      </c>
      <c r="H62" s="130">
        <v>966</v>
      </c>
      <c r="I62" s="130">
        <v>967</v>
      </c>
      <c r="J62" s="130">
        <v>968</v>
      </c>
      <c r="K62" s="130">
        <v>969</v>
      </c>
      <c r="L62" s="130">
        <v>970</v>
      </c>
      <c r="M62" s="130">
        <v>971</v>
      </c>
      <c r="N62" s="710">
        <v>972</v>
      </c>
      <c r="O62" s="711"/>
      <c r="P62" s="130">
        <v>973</v>
      </c>
      <c r="Q62" s="130">
        <v>974</v>
      </c>
      <c r="R62" s="130">
        <v>975</v>
      </c>
      <c r="S62" s="130">
        <v>976</v>
      </c>
      <c r="T62" s="130">
        <v>977</v>
      </c>
      <c r="U62" s="130">
        <v>978</v>
      </c>
      <c r="V62" s="130">
        <v>979</v>
      </c>
      <c r="W62" s="130">
        <v>980</v>
      </c>
    </row>
    <row r="63" spans="3:23" ht="15" customHeight="1">
      <c r="C63" s="130">
        <v>981</v>
      </c>
      <c r="D63" s="130">
        <v>982</v>
      </c>
      <c r="E63" s="130">
        <v>983</v>
      </c>
      <c r="F63" s="130">
        <v>984</v>
      </c>
      <c r="G63" s="130">
        <v>985</v>
      </c>
      <c r="H63" s="130">
        <v>986</v>
      </c>
      <c r="I63" s="130">
        <v>987</v>
      </c>
      <c r="J63" s="130">
        <v>988</v>
      </c>
      <c r="K63" s="130">
        <v>989</v>
      </c>
      <c r="L63" s="130">
        <v>990</v>
      </c>
      <c r="M63" s="130">
        <v>991</v>
      </c>
      <c r="N63" s="710">
        <v>992</v>
      </c>
      <c r="O63" s="711"/>
      <c r="P63" s="130">
        <v>993</v>
      </c>
      <c r="Q63" s="130">
        <v>994</v>
      </c>
      <c r="R63" s="130">
        <v>995</v>
      </c>
      <c r="S63" s="130">
        <v>996</v>
      </c>
      <c r="T63" s="130">
        <v>997</v>
      </c>
      <c r="U63" s="130">
        <v>998</v>
      </c>
      <c r="V63" s="130">
        <v>999</v>
      </c>
      <c r="W63" s="130">
        <v>1000</v>
      </c>
    </row>
    <row r="64" spans="3:23" ht="15" customHeight="1">
      <c r="C64" s="130">
        <v>1001</v>
      </c>
      <c r="D64" s="130">
        <v>1002</v>
      </c>
      <c r="E64" s="130">
        <v>1003</v>
      </c>
      <c r="F64" s="130">
        <v>1004</v>
      </c>
      <c r="G64" s="130">
        <v>1005</v>
      </c>
      <c r="H64" s="130">
        <v>1006</v>
      </c>
      <c r="I64" s="130">
        <v>1007</v>
      </c>
      <c r="J64" s="130">
        <v>1008</v>
      </c>
      <c r="K64" s="130">
        <v>1009</v>
      </c>
      <c r="L64" s="130">
        <v>1010</v>
      </c>
      <c r="M64" s="130">
        <v>1011</v>
      </c>
      <c r="N64" s="710">
        <v>1012</v>
      </c>
      <c r="O64" s="711"/>
      <c r="P64" s="130">
        <v>1013</v>
      </c>
      <c r="Q64" s="130">
        <v>1014</v>
      </c>
      <c r="R64" s="130">
        <v>1015</v>
      </c>
      <c r="S64" s="130">
        <v>1016</v>
      </c>
      <c r="T64" s="130">
        <v>1017</v>
      </c>
      <c r="U64" s="130">
        <v>1018</v>
      </c>
      <c r="V64" s="130">
        <v>1019</v>
      </c>
      <c r="W64" s="130">
        <v>1020</v>
      </c>
    </row>
    <row r="65" spans="3:23" ht="15" customHeight="1">
      <c r="C65" s="130">
        <v>1021</v>
      </c>
      <c r="D65" s="130">
        <v>1022</v>
      </c>
      <c r="E65" s="130">
        <v>1023</v>
      </c>
      <c r="F65" s="130">
        <v>1024</v>
      </c>
      <c r="G65" s="130">
        <v>1025</v>
      </c>
      <c r="H65" s="130">
        <v>1026</v>
      </c>
      <c r="I65" s="130">
        <v>1027</v>
      </c>
      <c r="J65" s="130">
        <v>1028</v>
      </c>
      <c r="K65" s="130">
        <v>1029</v>
      </c>
      <c r="L65" s="130">
        <v>1030</v>
      </c>
      <c r="M65" s="130">
        <v>1031</v>
      </c>
      <c r="N65" s="710">
        <v>1032</v>
      </c>
      <c r="O65" s="711">
        <v>1033</v>
      </c>
      <c r="P65" s="130">
        <v>1033</v>
      </c>
      <c r="Q65" s="130">
        <v>1034</v>
      </c>
      <c r="R65" s="130">
        <v>1035</v>
      </c>
      <c r="S65" s="130">
        <v>1036</v>
      </c>
      <c r="T65" s="130">
        <v>1037</v>
      </c>
      <c r="U65" s="130">
        <v>1038</v>
      </c>
      <c r="V65" s="130">
        <v>1039</v>
      </c>
      <c r="W65" s="130">
        <v>1040</v>
      </c>
    </row>
    <row r="66" spans="3:23" ht="15" customHeight="1">
      <c r="C66" s="130">
        <v>1041</v>
      </c>
      <c r="D66" s="130">
        <v>1042</v>
      </c>
      <c r="E66" s="130">
        <v>1043</v>
      </c>
      <c r="F66" s="130">
        <v>1044</v>
      </c>
      <c r="G66" s="130">
        <v>1045</v>
      </c>
      <c r="H66" s="130">
        <v>1046</v>
      </c>
      <c r="I66" s="130">
        <v>1047</v>
      </c>
      <c r="J66" s="130">
        <v>1048</v>
      </c>
      <c r="K66" s="130">
        <v>1049</v>
      </c>
      <c r="L66" s="130">
        <v>1050</v>
      </c>
      <c r="M66" s="130">
        <v>1051</v>
      </c>
      <c r="N66" s="710">
        <v>1052</v>
      </c>
      <c r="O66" s="711">
        <v>1033</v>
      </c>
      <c r="P66" s="130">
        <v>1053</v>
      </c>
      <c r="Q66" s="130">
        <v>1054</v>
      </c>
      <c r="R66" s="130">
        <v>1055</v>
      </c>
      <c r="S66" s="130">
        <v>1056</v>
      </c>
      <c r="T66" s="130">
        <v>1057</v>
      </c>
      <c r="U66" s="130">
        <v>1058</v>
      </c>
      <c r="V66" s="130">
        <v>1059</v>
      </c>
      <c r="W66" s="130">
        <v>1060</v>
      </c>
    </row>
    <row r="67" spans="3:23" ht="15" customHeight="1">
      <c r="C67" s="130">
        <v>1061</v>
      </c>
      <c r="D67" s="130">
        <v>1062</v>
      </c>
      <c r="E67" s="130">
        <v>1063</v>
      </c>
      <c r="F67" s="130">
        <v>1064</v>
      </c>
      <c r="G67" s="130">
        <v>1065</v>
      </c>
      <c r="H67" s="130">
        <v>1066</v>
      </c>
      <c r="I67" s="130">
        <v>1067</v>
      </c>
      <c r="J67" s="130">
        <v>1068</v>
      </c>
      <c r="K67" s="130">
        <v>1069</v>
      </c>
      <c r="L67" s="130">
        <v>1070</v>
      </c>
      <c r="M67" s="130">
        <v>1071</v>
      </c>
      <c r="N67" s="710">
        <v>1072</v>
      </c>
      <c r="O67" s="711">
        <v>1033</v>
      </c>
      <c r="P67" s="130">
        <v>1073</v>
      </c>
      <c r="Q67" s="130">
        <v>1074</v>
      </c>
      <c r="R67" s="130">
        <v>1075</v>
      </c>
      <c r="S67" s="130">
        <v>1076</v>
      </c>
      <c r="T67" s="130">
        <v>1077</v>
      </c>
      <c r="U67" s="130">
        <v>1078</v>
      </c>
      <c r="V67" s="130">
        <v>1079</v>
      </c>
      <c r="W67" s="130">
        <v>1080</v>
      </c>
    </row>
    <row r="68" spans="3:23" ht="15" customHeight="1">
      <c r="C68" s="130">
        <v>1081</v>
      </c>
      <c r="D68" s="130">
        <v>1082</v>
      </c>
      <c r="E68" s="130">
        <v>1083</v>
      </c>
      <c r="F68" s="130">
        <v>1084</v>
      </c>
      <c r="G68" s="130">
        <v>1085</v>
      </c>
      <c r="H68" s="130">
        <v>1086</v>
      </c>
      <c r="I68" s="130">
        <v>1087</v>
      </c>
      <c r="J68" s="130">
        <v>1088</v>
      </c>
      <c r="K68" s="130">
        <v>1089</v>
      </c>
      <c r="L68" s="130">
        <v>1090</v>
      </c>
      <c r="M68" s="130">
        <v>1091</v>
      </c>
      <c r="N68" s="710">
        <v>1092</v>
      </c>
      <c r="O68" s="711">
        <v>1033</v>
      </c>
      <c r="P68" s="130">
        <v>1093</v>
      </c>
      <c r="Q68" s="130">
        <v>1094</v>
      </c>
      <c r="R68" s="130">
        <v>1095</v>
      </c>
      <c r="S68" s="130">
        <v>1096</v>
      </c>
      <c r="T68" s="130">
        <v>1097</v>
      </c>
      <c r="U68" s="130">
        <v>1098</v>
      </c>
      <c r="V68" s="130">
        <v>1099</v>
      </c>
      <c r="W68" s="130">
        <v>1100</v>
      </c>
    </row>
  </sheetData>
  <sheetProtection sheet="1" objects="1" scenarios="1"/>
  <mergeCells count="84">
    <mergeCell ref="N65:O65"/>
    <mergeCell ref="C12:W13"/>
    <mergeCell ref="N59:O59"/>
    <mergeCell ref="N60:O60"/>
    <mergeCell ref="N61:O61"/>
    <mergeCell ref="N62:O62"/>
    <mergeCell ref="N63:O63"/>
    <mergeCell ref="N64:O64"/>
    <mergeCell ref="N53:O53"/>
    <mergeCell ref="N54:O54"/>
    <mergeCell ref="N55:O55"/>
    <mergeCell ref="N56:O56"/>
    <mergeCell ref="N57:O57"/>
    <mergeCell ref="N58:O58"/>
    <mergeCell ref="N47:O47"/>
    <mergeCell ref="N48:O48"/>
    <mergeCell ref="N49:O49"/>
    <mergeCell ref="N50:O50"/>
    <mergeCell ref="N51:O51"/>
    <mergeCell ref="N52:O52"/>
    <mergeCell ref="N41:O41"/>
    <mergeCell ref="N42:O42"/>
    <mergeCell ref="N43:O43"/>
    <mergeCell ref="N44:O44"/>
    <mergeCell ref="N45:O45"/>
    <mergeCell ref="N46:O46"/>
    <mergeCell ref="N26:O26"/>
    <mergeCell ref="N27:O27"/>
    <mergeCell ref="N40:O40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L6:M6"/>
    <mergeCell ref="L7:M7"/>
    <mergeCell ref="L8:M8"/>
    <mergeCell ref="L9:M9"/>
    <mergeCell ref="N28:O28"/>
    <mergeCell ref="N14:O14"/>
    <mergeCell ref="N15:O15"/>
    <mergeCell ref="N16:O16"/>
    <mergeCell ref="N17:O17"/>
    <mergeCell ref="N18:O18"/>
    <mergeCell ref="N19:O19"/>
    <mergeCell ref="N21:O21"/>
    <mergeCell ref="N22:O22"/>
    <mergeCell ref="N23:O23"/>
    <mergeCell ref="N24:O24"/>
    <mergeCell ref="N25:O25"/>
    <mergeCell ref="J5:K5"/>
    <mergeCell ref="C9:E9"/>
    <mergeCell ref="F8:G8"/>
    <mergeCell ref="F9:G9"/>
    <mergeCell ref="H6:I6"/>
    <mergeCell ref="H7:I7"/>
    <mergeCell ref="H8:I8"/>
    <mergeCell ref="H9:I9"/>
    <mergeCell ref="J6:K6"/>
    <mergeCell ref="J7:K7"/>
    <mergeCell ref="J8:K8"/>
    <mergeCell ref="J9:K9"/>
    <mergeCell ref="N68:O68"/>
    <mergeCell ref="C2:M3"/>
    <mergeCell ref="F6:G6"/>
    <mergeCell ref="F7:G7"/>
    <mergeCell ref="N66:O66"/>
    <mergeCell ref="N67:O67"/>
    <mergeCell ref="C4:E5"/>
    <mergeCell ref="F4:I4"/>
    <mergeCell ref="J4:M4"/>
    <mergeCell ref="F5:G5"/>
    <mergeCell ref="N20:O20"/>
    <mergeCell ref="C8:E8"/>
    <mergeCell ref="C6:E6"/>
    <mergeCell ref="C7:E7"/>
    <mergeCell ref="L5:M5"/>
    <mergeCell ref="H5:I5"/>
  </mergeCells>
  <printOptions horizontalCentered="1"/>
  <pageMargins left="0.19685039370078741" right="0.19685039370078741" top="0.19685039370078741" bottom="0.19685039370078741" header="0" footer="0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ABOUT</vt:lpstr>
      <vt:lpstr>CAL</vt:lpstr>
      <vt:lpstr>Tools</vt:lpstr>
      <vt:lpstr>Stowage factors</vt:lpstr>
      <vt:lpstr>Wind</vt:lpstr>
      <vt:lpstr>ETA</vt:lpstr>
      <vt:lpstr>Distance table</vt:lpstr>
      <vt:lpstr>Bunker Calc</vt:lpstr>
      <vt:lpstr>GMDSS</vt:lpstr>
      <vt:lpstr>Check List</vt:lpstr>
      <vt:lpstr>RADAR 1</vt:lpstr>
      <vt:lpstr>RADAR 2</vt:lpstr>
      <vt:lpstr>ABOUT!Print_Area</vt:lpstr>
      <vt:lpstr>'Bunker Calc'!Print_Area</vt:lpstr>
      <vt:lpstr>'Check List'!Print_Area</vt:lpstr>
      <vt:lpstr>'Distance table'!Print_Area</vt:lpstr>
      <vt:lpstr>ETA!Print_Area</vt:lpstr>
      <vt:lpstr>GMDSS!Print_Area</vt:lpstr>
      <vt:lpstr>'RADAR 1'!Print_Area</vt:lpstr>
      <vt:lpstr>'RADAR 2'!Print_Area</vt:lpstr>
      <vt:lpstr>'Stowage factors'!Print_Area</vt:lpstr>
      <vt:lpstr>Tools!Print_Area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</dc:creator>
  <cp:lastModifiedBy>behzad</cp:lastModifiedBy>
  <cp:lastPrinted>2018-12-21T22:47:04Z</cp:lastPrinted>
  <dcterms:created xsi:type="dcterms:W3CDTF">2010-11-05T13:08:04Z</dcterms:created>
  <dcterms:modified xsi:type="dcterms:W3CDTF">2024-12-15T14:18:24Z</dcterms:modified>
</cp:coreProperties>
</file>