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H:\unlimit\unlimit SM\Celestial\excel file\"/>
    </mc:Choice>
  </mc:AlternateContent>
  <xr:revisionPtr revIDLastSave="0" documentId="13_ncr:1_{DBCF60F5-298C-4234-8753-EE57CE56F9A6}" xr6:coauthVersionLast="45" xr6:coauthVersionMax="45" xr10:uidLastSave="{00000000-0000-0000-0000-000000000000}"/>
  <bookViews>
    <workbookView xWindow="-120" yWindow="-120" windowWidth="20730" windowHeight="11160" tabRatio="768" activeTab="3" xr2:uid="{00000000-000D-0000-FFFF-FFFF00000000}"/>
  </bookViews>
  <sheets>
    <sheet name="Info" sheetId="23" r:id="rId1"/>
    <sheet name="ETA" sheetId="22" r:id="rId2"/>
    <sheet name="True Wind Calc." sheetId="5" r:id="rId3"/>
    <sheet name="Star Finder" sheetId="13" r:id="rId4"/>
    <sheet name="Dusk &amp; Dawn" sheetId="24" r:id="rId5"/>
    <sheet name="Passage Planning" sheetId="6" r:id="rId6"/>
    <sheet name="Plotting Courses" sheetId="8" r:id="rId7"/>
  </sheets>
  <definedNames>
    <definedName name="_xlnm.Print_Area" localSheetId="4">'Dusk &amp; Dawn'!$B$1:$T$24</definedName>
    <definedName name="_xlnm.Print_Area" localSheetId="1">ETA!$A$1:$J$61</definedName>
    <definedName name="_xlnm.Print_Area" localSheetId="5">'Passage Planning'!$D$2:$O$81</definedName>
    <definedName name="_xlnm.Print_Area" localSheetId="6">'Plotting Courses'!$D$1:$AD$58</definedName>
    <definedName name="_xlnm.Print_Area" localSheetId="3">'Star Finder'!$A$1:$W$47</definedName>
    <definedName name="_xlnm.Print_Area" localSheetId="2">'True Wind Calc.'!$A$1:$J$23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45" i="13" l="1"/>
  <c r="L45" i="13"/>
  <c r="J45" i="13"/>
  <c r="G45" i="13"/>
  <c r="F45" i="13"/>
  <c r="E45" i="13"/>
  <c r="D45" i="13"/>
  <c r="C45" i="13"/>
  <c r="B45" i="13"/>
  <c r="J36" i="13"/>
  <c r="I36" i="13"/>
  <c r="G39" i="13"/>
  <c r="C37" i="13"/>
  <c r="C12" i="13"/>
  <c r="BR70" i="24" l="1"/>
  <c r="AX70" i="24"/>
  <c r="U70" i="24"/>
  <c r="S70" i="24"/>
  <c r="I70" i="24"/>
  <c r="G70" i="24"/>
  <c r="BR61" i="24"/>
  <c r="BH61" i="24"/>
  <c r="AX61" i="24"/>
  <c r="AN61" i="24"/>
  <c r="AC61" i="24"/>
  <c r="U61" i="24"/>
  <c r="S61" i="24"/>
  <c r="I61" i="24"/>
  <c r="G61" i="24"/>
  <c r="AC55" i="24"/>
  <c r="BR52" i="24"/>
  <c r="BH52" i="24"/>
  <c r="AX52" i="24"/>
  <c r="AN52" i="24"/>
  <c r="U52" i="24"/>
  <c r="S52" i="24"/>
  <c r="I52" i="24"/>
  <c r="G52" i="24"/>
  <c r="AC49" i="24"/>
  <c r="BR43" i="24"/>
  <c r="BH43" i="24"/>
  <c r="AX43" i="24"/>
  <c r="AN43" i="24"/>
  <c r="AC43" i="24"/>
  <c r="U43" i="24"/>
  <c r="S43" i="24"/>
  <c r="I43" i="24"/>
  <c r="G43" i="24"/>
  <c r="AY34" i="24"/>
  <c r="BI34" i="24" s="1"/>
  <c r="BS34" i="24" s="1"/>
  <c r="AW34" i="24"/>
  <c r="BG34" i="24" s="1"/>
  <c r="BQ34" i="24" s="1"/>
  <c r="AO34" i="24"/>
  <c r="AN34" i="24"/>
  <c r="AX34" i="24" s="1"/>
  <c r="BH34" i="24" s="1"/>
  <c r="BR34" i="24" s="1"/>
  <c r="AM34" i="24"/>
  <c r="S33" i="24"/>
  <c r="I33" i="24"/>
  <c r="U33" i="24" s="1"/>
  <c r="G33" i="24"/>
  <c r="E31" i="24"/>
  <c r="D31" i="24"/>
  <c r="H33" i="24" s="1"/>
  <c r="T33" i="24" s="1"/>
  <c r="G13" i="24"/>
  <c r="F11" i="24"/>
  <c r="E11" i="24"/>
  <c r="D11" i="24"/>
  <c r="X5" i="24" s="1"/>
  <c r="N5" i="24"/>
  <c r="N8" i="24" s="1"/>
  <c r="X4" i="24"/>
  <c r="N40" i="24" s="1"/>
  <c r="X3" i="24"/>
  <c r="AN40" i="24" s="1"/>
  <c r="K181" i="13"/>
  <c r="EL181" i="13" s="1"/>
  <c r="K184" i="13"/>
  <c r="U5" i="13"/>
  <c r="G19" i="13" s="1"/>
  <c r="G196" i="13"/>
  <c r="H196" i="13"/>
  <c r="G181" i="13"/>
  <c r="H181" i="13"/>
  <c r="G192" i="13"/>
  <c r="H192" i="13"/>
  <c r="G236" i="13"/>
  <c r="H236" i="13"/>
  <c r="G182" i="13"/>
  <c r="H182" i="13"/>
  <c r="G208" i="13"/>
  <c r="H208" i="13"/>
  <c r="G233" i="13"/>
  <c r="H233" i="13"/>
  <c r="U4" i="13"/>
  <c r="AE11" i="5"/>
  <c r="G13" i="5" s="1"/>
  <c r="K36" i="13"/>
  <c r="G37" i="13" s="1"/>
  <c r="L74" i="22"/>
  <c r="L75" i="22" s="1"/>
  <c r="L76" i="22" s="1"/>
  <c r="L77" i="22" s="1"/>
  <c r="L78" i="22" s="1"/>
  <c r="L79" i="22" s="1"/>
  <c r="L80" i="22" s="1"/>
  <c r="L81" i="22" s="1"/>
  <c r="L82" i="22" s="1"/>
  <c r="L83" i="22" s="1"/>
  <c r="L84" i="22" s="1"/>
  <c r="L85" i="22" s="1"/>
  <c r="L86" i="22" s="1"/>
  <c r="L87" i="22" s="1"/>
  <c r="L88" i="22" s="1"/>
  <c r="L89" i="22" s="1"/>
  <c r="L90" i="22" s="1"/>
  <c r="L91" i="22" s="1"/>
  <c r="L92" i="22" s="1"/>
  <c r="L93" i="22" s="1"/>
  <c r="L94" i="22" s="1"/>
  <c r="L95" i="22" s="1"/>
  <c r="L96" i="22" s="1"/>
  <c r="L97" i="22" s="1"/>
  <c r="L98" i="22" s="1"/>
  <c r="L99" i="22" s="1"/>
  <c r="L100" i="22" s="1"/>
  <c r="L101" i="22" s="1"/>
  <c r="F60" i="22"/>
  <c r="L55" i="22"/>
  <c r="F56" i="22" s="1"/>
  <c r="H56" i="22" s="1"/>
  <c r="F50" i="22"/>
  <c r="M48" i="22" s="1"/>
  <c r="F40" i="22"/>
  <c r="M34" i="22"/>
  <c r="F39" i="22"/>
  <c r="A22" i="22"/>
  <c r="A21" i="22" s="1"/>
  <c r="D22" i="22"/>
  <c r="M22" i="22" s="1"/>
  <c r="D6" i="6"/>
  <c r="N6" i="6"/>
  <c r="D8" i="6"/>
  <c r="D10" i="6" s="1"/>
  <c r="D12" i="6" s="1"/>
  <c r="D14" i="6" s="1"/>
  <c r="Q6" i="6"/>
  <c r="V6" i="6"/>
  <c r="W6" i="6"/>
  <c r="X6" i="6" s="1"/>
  <c r="U6" i="6"/>
  <c r="Q8" i="6"/>
  <c r="V8" i="6"/>
  <c r="U8" i="6"/>
  <c r="W8" i="6" s="1"/>
  <c r="X8" i="6" s="1"/>
  <c r="Q10" i="6"/>
  <c r="V10" i="6"/>
  <c r="W10" i="6" s="1"/>
  <c r="X10" i="6" s="1"/>
  <c r="U10" i="6"/>
  <c r="Q12" i="6"/>
  <c r="V12" i="6"/>
  <c r="W12" i="6" s="1"/>
  <c r="X12" i="6" s="1"/>
  <c r="U12" i="6"/>
  <c r="Q14" i="6"/>
  <c r="V14" i="6"/>
  <c r="U14" i="6"/>
  <c r="Q16" i="6"/>
  <c r="V16" i="6"/>
  <c r="W16" i="6" s="1"/>
  <c r="X16" i="6" s="1"/>
  <c r="U16" i="6"/>
  <c r="Q18" i="6"/>
  <c r="V18" i="6"/>
  <c r="W18" i="6" s="1"/>
  <c r="X18" i="6" s="1"/>
  <c r="U18" i="6"/>
  <c r="Q20" i="6"/>
  <c r="V20" i="6"/>
  <c r="U20" i="6"/>
  <c r="W20" i="6" s="1"/>
  <c r="X20" i="6" s="1"/>
  <c r="Q22" i="6"/>
  <c r="V22" i="6"/>
  <c r="W22" i="6" s="1"/>
  <c r="X22" i="6" s="1"/>
  <c r="U22" i="6"/>
  <c r="Q24" i="6"/>
  <c r="V24" i="6"/>
  <c r="W24" i="6"/>
  <c r="X24" i="6" s="1"/>
  <c r="U24" i="6"/>
  <c r="Q26" i="6"/>
  <c r="V26" i="6"/>
  <c r="U26" i="6"/>
  <c r="Q28" i="6"/>
  <c r="V28" i="6"/>
  <c r="U28" i="6"/>
  <c r="Q30" i="6"/>
  <c r="V30" i="6"/>
  <c r="U30" i="6"/>
  <c r="Q32" i="6"/>
  <c r="V32" i="6"/>
  <c r="W32" i="6" s="1"/>
  <c r="X32" i="6" s="1"/>
  <c r="U32" i="6"/>
  <c r="Q34" i="6"/>
  <c r="R34" i="6" s="1"/>
  <c r="S34" i="6" s="1"/>
  <c r="T34" i="6" s="1"/>
  <c r="V34" i="6"/>
  <c r="W34" i="6" s="1"/>
  <c r="X34" i="6" s="1"/>
  <c r="U34" i="6"/>
  <c r="Z34" i="6"/>
  <c r="Q36" i="6"/>
  <c r="Z36" i="6" s="1"/>
  <c r="R36" i="6"/>
  <c r="V36" i="6"/>
  <c r="U36" i="6"/>
  <c r="Q38" i="6"/>
  <c r="Z38" i="6" s="1"/>
  <c r="V38" i="6"/>
  <c r="W38" i="6" s="1"/>
  <c r="X38" i="6" s="1"/>
  <c r="U38" i="6"/>
  <c r="Q40" i="6"/>
  <c r="V40" i="6"/>
  <c r="U40" i="6"/>
  <c r="Q42" i="6"/>
  <c r="R42" i="6" s="1"/>
  <c r="V42" i="6"/>
  <c r="W42" i="6" s="1"/>
  <c r="X42" i="6" s="1"/>
  <c r="U42" i="6"/>
  <c r="Z42" i="6"/>
  <c r="Q44" i="6"/>
  <c r="Z44" i="6" s="1"/>
  <c r="V44" i="6"/>
  <c r="U44" i="6"/>
  <c r="W44" i="6" s="1"/>
  <c r="X44" i="6" s="1"/>
  <c r="Q46" i="6"/>
  <c r="R46" i="6" s="1"/>
  <c r="V46" i="6"/>
  <c r="U46" i="6"/>
  <c r="Q48" i="6"/>
  <c r="R48" i="6" s="1"/>
  <c r="Y48" i="6" s="1"/>
  <c r="V48" i="6"/>
  <c r="U48" i="6"/>
  <c r="W48" i="6"/>
  <c r="X48" i="6" s="1"/>
  <c r="Q50" i="6"/>
  <c r="R50" i="6" s="1"/>
  <c r="V50" i="6"/>
  <c r="U50" i="6"/>
  <c r="Q52" i="6"/>
  <c r="V52" i="6"/>
  <c r="W52" i="6" s="1"/>
  <c r="X52" i="6" s="1"/>
  <c r="U52" i="6"/>
  <c r="Q54" i="6"/>
  <c r="Z54" i="6" s="1"/>
  <c r="V54" i="6"/>
  <c r="U54" i="6"/>
  <c r="Q56" i="6"/>
  <c r="V56" i="6"/>
  <c r="W56" i="6" s="1"/>
  <c r="X56" i="6" s="1"/>
  <c r="U56" i="6"/>
  <c r="D60" i="6"/>
  <c r="M59" i="6" s="1"/>
  <c r="D62" i="6"/>
  <c r="D64" i="6"/>
  <c r="D66" i="6"/>
  <c r="M65" i="6" s="1"/>
  <c r="D68" i="6"/>
  <c r="M67" i="6" s="1"/>
  <c r="D70" i="6"/>
  <c r="L69" i="6" s="1"/>
  <c r="D72" i="6"/>
  <c r="D74" i="6"/>
  <c r="L73" i="6" s="1"/>
  <c r="D76" i="6"/>
  <c r="M75" i="6" s="1"/>
  <c r="D78" i="6"/>
  <c r="M77" i="6"/>
  <c r="D80" i="6"/>
  <c r="M79" i="6" s="1"/>
  <c r="M81" i="6"/>
  <c r="Q58" i="6"/>
  <c r="Z58" i="6" s="1"/>
  <c r="U58" i="6"/>
  <c r="V58" i="6"/>
  <c r="W58" i="6"/>
  <c r="X58" i="6" s="1"/>
  <c r="Q60" i="6"/>
  <c r="U60" i="6"/>
  <c r="V60" i="6"/>
  <c r="L61" i="6"/>
  <c r="Q62" i="6"/>
  <c r="Z62" i="6" s="1"/>
  <c r="U62" i="6"/>
  <c r="V62" i="6"/>
  <c r="W62" i="6"/>
  <c r="X62" i="6" s="1"/>
  <c r="Q64" i="6"/>
  <c r="U64" i="6"/>
  <c r="W64" i="6" s="1"/>
  <c r="X64" i="6" s="1"/>
  <c r="V64" i="6"/>
  <c r="L65" i="6"/>
  <c r="N66" i="6"/>
  <c r="O66" i="6"/>
  <c r="Q66" i="6"/>
  <c r="U66" i="6"/>
  <c r="V66" i="6"/>
  <c r="L67" i="6"/>
  <c r="N68" i="6"/>
  <c r="O68" i="6"/>
  <c r="Q68" i="6"/>
  <c r="R68" i="6"/>
  <c r="S68" i="6" s="1"/>
  <c r="U68" i="6"/>
  <c r="V68" i="6"/>
  <c r="W68" i="6" s="1"/>
  <c r="X68" i="6" s="1"/>
  <c r="Z68" i="6"/>
  <c r="Q70" i="6"/>
  <c r="Z70" i="6" s="1"/>
  <c r="U70" i="6"/>
  <c r="W70" i="6"/>
  <c r="X70" i="6" s="1"/>
  <c r="V70" i="6"/>
  <c r="Q72" i="6"/>
  <c r="Z72" i="6" s="1"/>
  <c r="U72" i="6"/>
  <c r="V72" i="6"/>
  <c r="N74" i="6"/>
  <c r="O74" i="6"/>
  <c r="Q74" i="6"/>
  <c r="R74" i="6" s="1"/>
  <c r="U74" i="6"/>
  <c r="V74" i="6"/>
  <c r="Z74" i="6"/>
  <c r="L75" i="6"/>
  <c r="N76" i="6"/>
  <c r="Q76" i="6"/>
  <c r="R76" i="6"/>
  <c r="U76" i="6"/>
  <c r="V76" i="6"/>
  <c r="Z76" i="6"/>
  <c r="L77" i="6"/>
  <c r="O78" i="6"/>
  <c r="Q78" i="6"/>
  <c r="R78" i="6" s="1"/>
  <c r="S78" i="6" s="1"/>
  <c r="T78" i="6" s="1"/>
  <c r="U78" i="6"/>
  <c r="V78" i="6"/>
  <c r="W78" i="6" s="1"/>
  <c r="X78" i="6" s="1"/>
  <c r="L79" i="6"/>
  <c r="O80" i="6"/>
  <c r="Q80" i="6"/>
  <c r="Z80" i="6" s="1"/>
  <c r="U80" i="6"/>
  <c r="V80" i="6"/>
  <c r="W80" i="6" s="1"/>
  <c r="X80" i="6" s="1"/>
  <c r="L81" i="6"/>
  <c r="Q12" i="8"/>
  <c r="Q15" i="8" s="1"/>
  <c r="S12" i="8"/>
  <c r="S13" i="8"/>
  <c r="S16" i="8" s="1"/>
  <c r="Q13" i="8"/>
  <c r="Q16" i="8" s="1"/>
  <c r="O25" i="8"/>
  <c r="T25" i="8"/>
  <c r="E28" i="8" s="1"/>
  <c r="O26" i="8"/>
  <c r="Q38" i="8"/>
  <c r="Q39" i="8" s="1"/>
  <c r="C233" i="13"/>
  <c r="D233" i="13"/>
  <c r="E233" i="13" s="1"/>
  <c r="C202" i="13"/>
  <c r="D202" i="13"/>
  <c r="F202" i="13" s="1"/>
  <c r="G202" i="13"/>
  <c r="H202" i="13"/>
  <c r="G201" i="13"/>
  <c r="H201" i="13"/>
  <c r="G234" i="13"/>
  <c r="H234" i="13"/>
  <c r="G206" i="13"/>
  <c r="H206" i="13"/>
  <c r="G225" i="13"/>
  <c r="H225" i="13"/>
  <c r="G213" i="13"/>
  <c r="H213" i="13"/>
  <c r="G195" i="13"/>
  <c r="H195" i="13"/>
  <c r="G228" i="13"/>
  <c r="H228" i="13"/>
  <c r="G224" i="13"/>
  <c r="H224" i="13"/>
  <c r="G229" i="13"/>
  <c r="H229" i="13"/>
  <c r="G222" i="13"/>
  <c r="H222" i="13"/>
  <c r="G203" i="13"/>
  <c r="H203" i="13"/>
  <c r="D10" i="13"/>
  <c r="K182" i="13"/>
  <c r="DE182" i="13" s="1"/>
  <c r="BH182" i="13"/>
  <c r="BG182" i="13"/>
  <c r="BE182" i="13"/>
  <c r="BH181" i="13"/>
  <c r="BG181" i="13"/>
  <c r="BE181" i="13"/>
  <c r="G230" i="13"/>
  <c r="H230" i="13"/>
  <c r="G227" i="13"/>
  <c r="H227" i="13"/>
  <c r="G187" i="13"/>
  <c r="H187" i="13"/>
  <c r="B14" i="13"/>
  <c r="B16" i="13"/>
  <c r="C17" i="13"/>
  <c r="D17" i="13"/>
  <c r="E17" i="13"/>
  <c r="L17" i="13"/>
  <c r="M17" i="13" s="1"/>
  <c r="B18" i="13"/>
  <c r="B19" i="13"/>
  <c r="C32" i="13"/>
  <c r="D181" i="13"/>
  <c r="C181" i="13"/>
  <c r="D182" i="13"/>
  <c r="F182" i="13" s="1"/>
  <c r="C182" i="13"/>
  <c r="D183" i="13"/>
  <c r="C183" i="13"/>
  <c r="F183" i="13"/>
  <c r="G183" i="13"/>
  <c r="H183" i="13"/>
  <c r="D184" i="13"/>
  <c r="C184" i="13"/>
  <c r="G184" i="13"/>
  <c r="H184" i="13"/>
  <c r="D185" i="13"/>
  <c r="C185" i="13"/>
  <c r="G185" i="13"/>
  <c r="H185" i="13"/>
  <c r="D186" i="13"/>
  <c r="C186" i="13"/>
  <c r="E186" i="13" s="1"/>
  <c r="G186" i="13"/>
  <c r="H186" i="13"/>
  <c r="D187" i="13"/>
  <c r="C187" i="13"/>
  <c r="D188" i="13"/>
  <c r="F188" i="13" s="1"/>
  <c r="C188" i="13"/>
  <c r="E188" i="13"/>
  <c r="G188" i="13"/>
  <c r="H188" i="13"/>
  <c r="D189" i="13"/>
  <c r="F189" i="13"/>
  <c r="C189" i="13"/>
  <c r="G189" i="13"/>
  <c r="H189" i="13"/>
  <c r="D190" i="13"/>
  <c r="C190" i="13"/>
  <c r="G190" i="13"/>
  <c r="H190" i="13"/>
  <c r="D191" i="13"/>
  <c r="C191" i="13"/>
  <c r="F191" i="13"/>
  <c r="G191" i="13"/>
  <c r="H191" i="13"/>
  <c r="D192" i="13"/>
  <c r="C192" i="13"/>
  <c r="D193" i="13"/>
  <c r="C193" i="13"/>
  <c r="G193" i="13"/>
  <c r="H193" i="13"/>
  <c r="D194" i="13"/>
  <c r="C194" i="13"/>
  <c r="G194" i="13"/>
  <c r="H194" i="13"/>
  <c r="D195" i="13"/>
  <c r="C195" i="13"/>
  <c r="E195" i="13" s="1"/>
  <c r="I195" i="13" s="1"/>
  <c r="D196" i="13"/>
  <c r="F196" i="13" s="1"/>
  <c r="C196" i="13"/>
  <c r="D197" i="13"/>
  <c r="C197" i="13"/>
  <c r="E197" i="13" s="1"/>
  <c r="G197" i="13"/>
  <c r="H197" i="13"/>
  <c r="D198" i="13"/>
  <c r="F198" i="13" s="1"/>
  <c r="C198" i="13"/>
  <c r="G198" i="13"/>
  <c r="H198" i="13"/>
  <c r="J198" i="13" s="1"/>
  <c r="AA203" i="13" s="1"/>
  <c r="AI203" i="13" s="1"/>
  <c r="D199" i="13"/>
  <c r="F199" i="13" s="1"/>
  <c r="C199" i="13"/>
  <c r="G199" i="13"/>
  <c r="H199" i="13"/>
  <c r="E199" i="13"/>
  <c r="D200" i="13"/>
  <c r="C200" i="13"/>
  <c r="G200" i="13"/>
  <c r="H200" i="13"/>
  <c r="D201" i="13"/>
  <c r="C201" i="13"/>
  <c r="D203" i="13"/>
  <c r="C203" i="13"/>
  <c r="E203" i="13" s="1"/>
  <c r="D204" i="13"/>
  <c r="F204" i="13"/>
  <c r="C204" i="13"/>
  <c r="G204" i="13"/>
  <c r="H204" i="13"/>
  <c r="D205" i="13"/>
  <c r="F205" i="13" s="1"/>
  <c r="C205" i="13"/>
  <c r="G205" i="13"/>
  <c r="H205" i="13"/>
  <c r="D206" i="13"/>
  <c r="C206" i="13"/>
  <c r="E206" i="13" s="1"/>
  <c r="D207" i="13"/>
  <c r="E207" i="13"/>
  <c r="C207" i="13"/>
  <c r="G207" i="13"/>
  <c r="H207" i="13"/>
  <c r="D208" i="13"/>
  <c r="C208" i="13"/>
  <c r="E208" i="13"/>
  <c r="I208" i="13" s="1"/>
  <c r="D209" i="13"/>
  <c r="C209" i="13"/>
  <c r="E209" i="13" s="1"/>
  <c r="G209" i="13"/>
  <c r="H209" i="13"/>
  <c r="D210" i="13"/>
  <c r="C210" i="13"/>
  <c r="E210" i="13"/>
  <c r="G210" i="13"/>
  <c r="I210" i="13" s="1"/>
  <c r="H210" i="13"/>
  <c r="D211" i="13"/>
  <c r="C211" i="13"/>
  <c r="G211" i="13"/>
  <c r="H211" i="13"/>
  <c r="D212" i="13"/>
  <c r="C212" i="13"/>
  <c r="G212" i="13"/>
  <c r="H212" i="13"/>
  <c r="D213" i="13"/>
  <c r="C213" i="13"/>
  <c r="D214" i="13"/>
  <c r="C214" i="13"/>
  <c r="E214" i="13" s="1"/>
  <c r="G214" i="13"/>
  <c r="H214" i="13"/>
  <c r="FU181" i="13"/>
  <c r="D215" i="13"/>
  <c r="F215" i="13"/>
  <c r="C215" i="13"/>
  <c r="G215" i="13"/>
  <c r="H215" i="13"/>
  <c r="D216" i="13"/>
  <c r="F216" i="13" s="1"/>
  <c r="C216" i="13"/>
  <c r="G216" i="13"/>
  <c r="H216" i="13"/>
  <c r="E216" i="13"/>
  <c r="D217" i="13"/>
  <c r="C217" i="13"/>
  <c r="E217" i="13" s="1"/>
  <c r="G217" i="13"/>
  <c r="H217" i="13"/>
  <c r="DG181" i="13"/>
  <c r="D218" i="13"/>
  <c r="F218" i="13" s="1"/>
  <c r="C218" i="13"/>
  <c r="G218" i="13"/>
  <c r="H218" i="13"/>
  <c r="D219" i="13"/>
  <c r="F219" i="13" s="1"/>
  <c r="C219" i="13"/>
  <c r="G219" i="13"/>
  <c r="H219" i="13"/>
  <c r="D220" i="13"/>
  <c r="C220" i="13"/>
  <c r="G220" i="13"/>
  <c r="H220" i="13"/>
  <c r="D221" i="13"/>
  <c r="F221" i="13" s="1"/>
  <c r="C221" i="13"/>
  <c r="G221" i="13"/>
  <c r="H221" i="13"/>
  <c r="D222" i="13"/>
  <c r="F222" i="13" s="1"/>
  <c r="J222" i="13" s="1"/>
  <c r="AA229" i="13" s="1"/>
  <c r="AI229" i="13" s="1"/>
  <c r="C222" i="13"/>
  <c r="D223" i="13"/>
  <c r="C223" i="13"/>
  <c r="G223" i="13"/>
  <c r="H223" i="13"/>
  <c r="D224" i="13"/>
  <c r="C224" i="13"/>
  <c r="D225" i="13"/>
  <c r="F225" i="13"/>
  <c r="C225" i="13"/>
  <c r="D226" i="13"/>
  <c r="F226" i="13" s="1"/>
  <c r="C226" i="13"/>
  <c r="G226" i="13"/>
  <c r="H226" i="13"/>
  <c r="J226" i="13" s="1"/>
  <c r="AA233" i="13" s="1"/>
  <c r="AI233" i="13" s="1"/>
  <c r="E226" i="13"/>
  <c r="D227" i="13"/>
  <c r="C227" i="13"/>
  <c r="F227" i="13" s="1"/>
  <c r="D228" i="13"/>
  <c r="C228" i="13"/>
  <c r="F228" i="13" s="1"/>
  <c r="D229" i="13"/>
  <c r="C229" i="13"/>
  <c r="E229" i="13" s="1"/>
  <c r="D230" i="13"/>
  <c r="E230" i="13" s="1"/>
  <c r="I230" i="13" s="1"/>
  <c r="C230" i="13"/>
  <c r="HD181" i="13"/>
  <c r="D231" i="13"/>
  <c r="E231" i="13"/>
  <c r="C231" i="13"/>
  <c r="F231" i="13"/>
  <c r="G231" i="13"/>
  <c r="H231" i="13"/>
  <c r="D232" i="13"/>
  <c r="C232" i="13"/>
  <c r="G232" i="13"/>
  <c r="H232" i="13"/>
  <c r="D234" i="13"/>
  <c r="C234" i="13"/>
  <c r="E234" i="13" s="1"/>
  <c r="I234" i="13" s="1"/>
  <c r="D235" i="13"/>
  <c r="E235" i="13"/>
  <c r="C235" i="13"/>
  <c r="G235" i="13"/>
  <c r="H235" i="13"/>
  <c r="D236" i="13"/>
  <c r="F236" i="13" s="1"/>
  <c r="J236" i="13" s="1"/>
  <c r="AA244" i="13" s="1"/>
  <c r="AI244" i="13" s="1"/>
  <c r="C236" i="13"/>
  <c r="E236" i="13"/>
  <c r="I236" i="13" s="1"/>
  <c r="EN181" i="13"/>
  <c r="D237" i="13"/>
  <c r="C237" i="13"/>
  <c r="G237" i="13"/>
  <c r="I237" i="13" s="1"/>
  <c r="H237" i="13"/>
  <c r="DG182" i="13"/>
  <c r="EN182" i="13"/>
  <c r="FU182" i="13"/>
  <c r="HD182" i="13"/>
  <c r="K183" i="13"/>
  <c r="DF183" i="13" s="1"/>
  <c r="BE183" i="13"/>
  <c r="BG183" i="13"/>
  <c r="BH183" i="13"/>
  <c r="DG183" i="13"/>
  <c r="EN183" i="13"/>
  <c r="FU183" i="13"/>
  <c r="HD183" i="13"/>
  <c r="AE10" i="5"/>
  <c r="G15" i="5" s="1"/>
  <c r="A18" i="5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F212" i="13"/>
  <c r="E212" i="13"/>
  <c r="E187" i="13"/>
  <c r="I187" i="13" s="1"/>
  <c r="F187" i="13"/>
  <c r="J187" i="13"/>
  <c r="AA192" i="13" s="1"/>
  <c r="AI192" i="13" s="1"/>
  <c r="E201" i="13"/>
  <c r="F184" i="13"/>
  <c r="J184" i="13" s="1"/>
  <c r="AA189" i="13" s="1"/>
  <c r="AI189" i="13" s="1"/>
  <c r="E184" i="13"/>
  <c r="I184" i="13"/>
  <c r="F193" i="13"/>
  <c r="E193" i="13"/>
  <c r="E237" i="13"/>
  <c r="F207" i="13"/>
  <c r="J207" i="13" s="1"/>
  <c r="AA212" i="13" s="1"/>
  <c r="AI212" i="13" s="1"/>
  <c r="E204" i="13"/>
  <c r="F223" i="13"/>
  <c r="E215" i="13"/>
  <c r="E194" i="13"/>
  <c r="I194" i="13" s="1"/>
  <c r="F194" i="13"/>
  <c r="E189" i="13"/>
  <c r="I189" i="13" s="1"/>
  <c r="F186" i="13"/>
  <c r="F233" i="13"/>
  <c r="J233" i="13" s="1"/>
  <c r="AA241" i="13" s="1"/>
  <c r="AI241" i="13" s="1"/>
  <c r="E205" i="13"/>
  <c r="E222" i="13"/>
  <c r="I222" i="13" s="1"/>
  <c r="E198" i="13"/>
  <c r="I198" i="13" s="1"/>
  <c r="E196" i="13"/>
  <c r="E182" i="13"/>
  <c r="I182" i="13" s="1"/>
  <c r="F210" i="13"/>
  <c r="E192" i="13"/>
  <c r="I192" i="13" s="1"/>
  <c r="F229" i="13"/>
  <c r="E225" i="13"/>
  <c r="I225" i="13" s="1"/>
  <c r="F208" i="13"/>
  <c r="F181" i="13"/>
  <c r="J181" i="13" s="1"/>
  <c r="AA186" i="13" s="1"/>
  <c r="AI186" i="13" s="1"/>
  <c r="R80" i="6"/>
  <c r="S15" i="8"/>
  <c r="E15" i="8"/>
  <c r="S76" i="6"/>
  <c r="T76" i="6" s="1"/>
  <c r="Y76" i="6"/>
  <c r="AA76" i="6" s="1"/>
  <c r="Z52" i="6"/>
  <c r="R52" i="6"/>
  <c r="S36" i="6"/>
  <c r="Y36" i="6"/>
  <c r="AA36" i="6" s="1"/>
  <c r="Y78" i="6"/>
  <c r="R64" i="6"/>
  <c r="Y64" i="6" s="1"/>
  <c r="Z64" i="6"/>
  <c r="R24" i="6"/>
  <c r="S24" i="6" s="1"/>
  <c r="T24" i="6" s="1"/>
  <c r="Z24" i="6"/>
  <c r="T68" i="6"/>
  <c r="L63" i="6"/>
  <c r="O64" i="6"/>
  <c r="M63" i="6"/>
  <c r="N64" i="6"/>
  <c r="R12" i="6"/>
  <c r="Z12" i="6"/>
  <c r="Z56" i="6"/>
  <c r="R56" i="6"/>
  <c r="D16" i="6"/>
  <c r="D18" i="6" s="1"/>
  <c r="N72" i="6"/>
  <c r="L71" i="6"/>
  <c r="M71" i="6"/>
  <c r="O72" i="6"/>
  <c r="S46" i="6"/>
  <c r="Y46" i="6"/>
  <c r="N78" i="6"/>
  <c r="N62" i="6"/>
  <c r="M61" i="6"/>
  <c r="O62" i="6"/>
  <c r="W72" i="6"/>
  <c r="X72" i="6" s="1"/>
  <c r="S42" i="6"/>
  <c r="Y42" i="6"/>
  <c r="AA42" i="6" s="1"/>
  <c r="AB42" i="6" s="1"/>
  <c r="AC42" i="6" s="1"/>
  <c r="Z40" i="6"/>
  <c r="R40" i="6"/>
  <c r="R60" i="6"/>
  <c r="Y60" i="6" s="1"/>
  <c r="Z60" i="6"/>
  <c r="Y34" i="6"/>
  <c r="AA34" i="6" s="1"/>
  <c r="R66" i="6"/>
  <c r="Y66" i="6" s="1"/>
  <c r="Z66" i="6"/>
  <c r="M69" i="6"/>
  <c r="O70" i="6"/>
  <c r="R30" i="6"/>
  <c r="Z30" i="6"/>
  <c r="R22" i="6"/>
  <c r="Z22" i="6"/>
  <c r="R8" i="6"/>
  <c r="S8" i="6" s="1"/>
  <c r="T8" i="6" s="1"/>
  <c r="Z8" i="6"/>
  <c r="R16" i="6"/>
  <c r="S16" i="6" s="1"/>
  <c r="T16" i="6" s="1"/>
  <c r="Z16" i="6"/>
  <c r="R32" i="6"/>
  <c r="Z32" i="6"/>
  <c r="R28" i="6"/>
  <c r="Y28" i="6" s="1"/>
  <c r="Z28" i="6"/>
  <c r="R18" i="6"/>
  <c r="Y18" i="6" s="1"/>
  <c r="AA18" i="6" s="1"/>
  <c r="AB18" i="6" s="1"/>
  <c r="AC18" i="6" s="1"/>
  <c r="Z18" i="6"/>
  <c r="R10" i="6"/>
  <c r="S10" i="6" s="1"/>
  <c r="Z10" i="6"/>
  <c r="N34" i="22"/>
  <c r="O34" i="22" s="1"/>
  <c r="P34" i="22" s="1"/>
  <c r="Q34" i="22" s="1"/>
  <c r="R26" i="6"/>
  <c r="Z26" i="6"/>
  <c r="R14" i="6"/>
  <c r="Y14" i="6" s="1"/>
  <c r="Z14" i="6"/>
  <c r="R6" i="6"/>
  <c r="Z6" i="6"/>
  <c r="W28" i="6"/>
  <c r="X28" i="6" s="1"/>
  <c r="R20" i="6"/>
  <c r="Y20" i="6" s="1"/>
  <c r="AA20" i="6" s="1"/>
  <c r="AB20" i="6" s="1"/>
  <c r="Z20" i="6"/>
  <c r="Y8" i="6"/>
  <c r="AA8" i="6" s="1"/>
  <c r="AB8" i="6" s="1"/>
  <c r="T46" i="6"/>
  <c r="T36" i="6"/>
  <c r="Y16" i="6"/>
  <c r="AA16" i="6" s="1"/>
  <c r="AB16" i="6" s="1"/>
  <c r="S20" i="6"/>
  <c r="AA66" i="6"/>
  <c r="AA64" i="6"/>
  <c r="S18" i="6"/>
  <c r="T18" i="6" s="1"/>
  <c r="S60" i="6"/>
  <c r="T60" i="6" s="1"/>
  <c r="AA60" i="6"/>
  <c r="T42" i="6"/>
  <c r="S14" i="6"/>
  <c r="AA14" i="6"/>
  <c r="S28" i="6"/>
  <c r="Y24" i="6"/>
  <c r="AA24" i="6" s="1"/>
  <c r="T28" i="6"/>
  <c r="T10" i="6"/>
  <c r="D20" i="6"/>
  <c r="L19" i="6" s="1"/>
  <c r="HF183" i="13"/>
  <c r="E16" i="8"/>
  <c r="E29" i="8" s="1"/>
  <c r="E30" i="8" s="1"/>
  <c r="G21" i="13"/>
  <c r="I201" i="13"/>
  <c r="FW181" i="13"/>
  <c r="HF181" i="13"/>
  <c r="EK181" i="13"/>
  <c r="GK181" i="13"/>
  <c r="EP181" i="13"/>
  <c r="AP181" i="13"/>
  <c r="I209" i="13"/>
  <c r="J188" i="13"/>
  <c r="AA193" i="13" s="1"/>
  <c r="AI193" i="13" s="1"/>
  <c r="I199" i="13"/>
  <c r="A23" i="22"/>
  <c r="A24" i="22" s="1"/>
  <c r="A25" i="22" s="1"/>
  <c r="D23" i="22"/>
  <c r="M23" i="22" s="1"/>
  <c r="AA23" i="22" s="1"/>
  <c r="G23" i="22" s="1"/>
  <c r="D24" i="22"/>
  <c r="M24" i="22" s="1"/>
  <c r="AA24" i="22" s="1"/>
  <c r="G24" i="22" s="1"/>
  <c r="DE183" i="13"/>
  <c r="HC183" i="13"/>
  <c r="EL183" i="13"/>
  <c r="FT183" i="13"/>
  <c r="DU183" i="13"/>
  <c r="I193" i="13"/>
  <c r="FS183" i="13"/>
  <c r="EK183" i="13"/>
  <c r="FW182" i="13"/>
  <c r="GK182" i="13"/>
  <c r="HC182" i="13"/>
  <c r="EP182" i="13"/>
  <c r="EM182" i="13"/>
  <c r="FT182" i="13"/>
  <c r="FV182" i="13"/>
  <c r="FR182" i="13"/>
  <c r="DI182" i="13"/>
  <c r="W182" i="13"/>
  <c r="FB182" i="13"/>
  <c r="AK182" i="13"/>
  <c r="AM182" i="13"/>
  <c r="EO182" i="13"/>
  <c r="E42" i="8"/>
  <c r="R18" i="8"/>
  <c r="I235" i="13"/>
  <c r="J189" i="13"/>
  <c r="AA194" i="13" s="1"/>
  <c r="AI194" i="13" s="1"/>
  <c r="I231" i="13"/>
  <c r="J218" i="13"/>
  <c r="AA225" i="13" s="1"/>
  <c r="AI225" i="13" s="1"/>
  <c r="J204" i="13"/>
  <c r="AA209" i="13" s="1"/>
  <c r="AI209" i="13" s="1"/>
  <c r="J231" i="13"/>
  <c r="AA239" i="13" s="1"/>
  <c r="AI239" i="13" s="1"/>
  <c r="C19" i="13"/>
  <c r="D19" i="13"/>
  <c r="DI181" i="13"/>
  <c r="EM181" i="13"/>
  <c r="FR181" i="13"/>
  <c r="HE181" i="13"/>
  <c r="L181" i="13"/>
  <c r="AG181" i="13" s="1"/>
  <c r="AM181" i="13"/>
  <c r="DH181" i="13"/>
  <c r="Q181" i="13"/>
  <c r="AB181" i="13" s="1"/>
  <c r="FB181" i="13"/>
  <c r="AN181" i="13"/>
  <c r="FT181" i="13"/>
  <c r="F49" i="22"/>
  <c r="N48" i="22"/>
  <c r="T34" i="22"/>
  <c r="N23" i="22"/>
  <c r="AA22" i="22"/>
  <c r="G22" i="22"/>
  <c r="N22" i="22"/>
  <c r="O48" i="22"/>
  <c r="P48" i="22" s="1"/>
  <c r="Q48" i="22" s="1"/>
  <c r="T48" i="22" s="1"/>
  <c r="R34" i="22"/>
  <c r="S34" i="22" s="1"/>
  <c r="O23" i="22"/>
  <c r="P23" i="22" s="1"/>
  <c r="Q23" i="22"/>
  <c r="T23" i="22" s="1"/>
  <c r="M181" i="13"/>
  <c r="P181" i="13" s="1"/>
  <c r="EO181" i="13"/>
  <c r="GG181" i="13"/>
  <c r="DF181" i="13"/>
  <c r="BI181" i="13"/>
  <c r="BJ181" i="13" s="1"/>
  <c r="BF181" i="13"/>
  <c r="W181" i="13"/>
  <c r="BD181" i="13"/>
  <c r="DE181" i="13"/>
  <c r="AK181" i="13"/>
  <c r="M182" i="13"/>
  <c r="N182" i="13" s="1"/>
  <c r="FS182" i="13"/>
  <c r="EK182" i="13"/>
  <c r="DF182" i="13"/>
  <c r="BD182" i="13"/>
  <c r="DU182" i="13"/>
  <c r="AP182" i="13"/>
  <c r="DH182" i="13"/>
  <c r="EL182" i="13"/>
  <c r="HF182" i="13"/>
  <c r="Q182" i="13"/>
  <c r="AB182" i="13" s="1"/>
  <c r="HV182" i="13"/>
  <c r="BF182" i="13"/>
  <c r="L182" i="13"/>
  <c r="AG182" i="13" s="1"/>
  <c r="HB182" i="13"/>
  <c r="BI182" i="13"/>
  <c r="AN182" i="13"/>
  <c r="BU182" i="13" s="1"/>
  <c r="HA182" i="13"/>
  <c r="HE182" i="13"/>
  <c r="W183" i="13"/>
  <c r="M183" i="13"/>
  <c r="N183" i="13" s="1"/>
  <c r="EM183" i="13"/>
  <c r="AN183" i="13"/>
  <c r="Q183" i="13"/>
  <c r="AB183" i="13" s="1"/>
  <c r="DD182" i="13"/>
  <c r="FB183" i="13"/>
  <c r="HV181" i="13"/>
  <c r="FV181" i="13"/>
  <c r="HB181" i="13"/>
  <c r="FS181" i="13"/>
  <c r="DU181" i="13"/>
  <c r="HC181" i="13"/>
  <c r="FR183" i="13"/>
  <c r="DD181" i="13"/>
  <c r="FW183" i="13"/>
  <c r="HP183" i="13" s="1"/>
  <c r="HA181" i="13"/>
  <c r="X181" i="13"/>
  <c r="Y181" i="13" s="1"/>
  <c r="Z181" i="13" s="1"/>
  <c r="BJ182" i="13"/>
  <c r="BL182" i="13" s="1"/>
  <c r="FX181" i="13"/>
  <c r="FY181" i="13" s="1"/>
  <c r="HP181" i="13"/>
  <c r="EQ181" i="13" l="1"/>
  <c r="ER181" i="13" s="1"/>
  <c r="EQ182" i="13"/>
  <c r="HG181" i="13"/>
  <c r="HI181" i="13" s="1"/>
  <c r="J219" i="13"/>
  <c r="AA226" i="13" s="1"/>
  <c r="AI226" i="13" s="1"/>
  <c r="J216" i="13"/>
  <c r="AA222" i="13" s="1"/>
  <c r="AI222" i="13" s="1"/>
  <c r="I186" i="13"/>
  <c r="J202" i="13"/>
  <c r="AA207" i="13" s="1"/>
  <c r="AI207" i="13" s="1"/>
  <c r="I233" i="13"/>
  <c r="ES182" i="13"/>
  <c r="ER182" i="13"/>
  <c r="HT181" i="13"/>
  <c r="O183" i="13"/>
  <c r="BF183" i="13"/>
  <c r="BI183" i="13"/>
  <c r="BJ183" i="13" s="1"/>
  <c r="AM183" i="13"/>
  <c r="HE183" i="13"/>
  <c r="DH183" i="13"/>
  <c r="GK183" i="13"/>
  <c r="DD183" i="13"/>
  <c r="EP183" i="13"/>
  <c r="HA183" i="13"/>
  <c r="AP183" i="13"/>
  <c r="L183" i="13"/>
  <c r="AG183" i="13" s="1"/>
  <c r="AK183" i="13"/>
  <c r="BU183" i="13" s="1"/>
  <c r="HB183" i="13"/>
  <c r="HV183" i="13"/>
  <c r="EO183" i="13"/>
  <c r="BD183" i="13"/>
  <c r="FV183" i="13"/>
  <c r="DI183" i="13"/>
  <c r="J208" i="13"/>
  <c r="AA213" i="13" s="1"/>
  <c r="AI213" i="13" s="1"/>
  <c r="J229" i="13"/>
  <c r="AA236" i="13" s="1"/>
  <c r="AI236" i="13" s="1"/>
  <c r="J210" i="13"/>
  <c r="AA215" i="13" s="1"/>
  <c r="AI215" i="13" s="1"/>
  <c r="I196" i="13"/>
  <c r="I205" i="13"/>
  <c r="J186" i="13"/>
  <c r="AA191" i="13" s="1"/>
  <c r="AI191" i="13" s="1"/>
  <c r="J194" i="13"/>
  <c r="AA199" i="13" s="1"/>
  <c r="AI199" i="13" s="1"/>
  <c r="I204" i="13"/>
  <c r="J193" i="13"/>
  <c r="AA198" i="13" s="1"/>
  <c r="AI198" i="13" s="1"/>
  <c r="I212" i="13"/>
  <c r="I229" i="13"/>
  <c r="J227" i="13"/>
  <c r="AA234" i="13" s="1"/>
  <c r="AI234" i="13" s="1"/>
  <c r="J225" i="13"/>
  <c r="AA232" i="13" s="1"/>
  <c r="AI232" i="13" s="1"/>
  <c r="J196" i="13"/>
  <c r="AA201" i="13" s="1"/>
  <c r="AI201" i="13" s="1"/>
  <c r="J182" i="13"/>
  <c r="AA187" i="13" s="1"/>
  <c r="AI187" i="13" s="1"/>
  <c r="AC181" i="13"/>
  <c r="T184" i="13" s="1"/>
  <c r="FX183" i="13"/>
  <c r="FZ183" i="13" s="1"/>
  <c r="BK182" i="13"/>
  <c r="BN182" i="13" s="1"/>
  <c r="FX182" i="13"/>
  <c r="FY182" i="13" s="1"/>
  <c r="BL181" i="13"/>
  <c r="BK181" i="13"/>
  <c r="AC8" i="6"/>
  <c r="L9" i="6" s="1"/>
  <c r="Y22" i="6"/>
  <c r="AA22" i="6" s="1"/>
  <c r="AB22" i="6" s="1"/>
  <c r="S22" i="6"/>
  <c r="AC22" i="6" s="1"/>
  <c r="Y40" i="6"/>
  <c r="AA40" i="6" s="1"/>
  <c r="S40" i="6"/>
  <c r="T40" i="6" s="1"/>
  <c r="AD42" i="6"/>
  <c r="Y52" i="6"/>
  <c r="S52" i="6"/>
  <c r="T52" i="6" s="1"/>
  <c r="W34" i="22"/>
  <c r="F38" i="22" s="1"/>
  <c r="EU182" i="13"/>
  <c r="BM182" i="13"/>
  <c r="GG183" i="13"/>
  <c r="HT183" i="13"/>
  <c r="AO182" i="13"/>
  <c r="AQ182" i="13" s="1"/>
  <c r="HP182" i="13"/>
  <c r="X183" i="13"/>
  <c r="Y183" i="13" s="1"/>
  <c r="O181" i="13"/>
  <c r="BV182" i="13"/>
  <c r="HT182" i="13"/>
  <c r="DJ182" i="13"/>
  <c r="DK182" i="13" s="1"/>
  <c r="BU181" i="13"/>
  <c r="S64" i="6"/>
  <c r="T64" i="6" s="1"/>
  <c r="S66" i="6"/>
  <c r="Y10" i="6"/>
  <c r="AA10" i="6" s="1"/>
  <c r="AB10" i="6" s="1"/>
  <c r="AC10" i="6" s="1"/>
  <c r="L11" i="6" s="1"/>
  <c r="AA46" i="6"/>
  <c r="Y74" i="6"/>
  <c r="AA74" i="6" s="1"/>
  <c r="S74" i="6"/>
  <c r="T74" i="6" s="1"/>
  <c r="E224" i="13"/>
  <c r="I224" i="13" s="1"/>
  <c r="F195" i="13"/>
  <c r="J195" i="13" s="1"/>
  <c r="AA200" i="13" s="1"/>
  <c r="AI200" i="13" s="1"/>
  <c r="AB24" i="6"/>
  <c r="AA28" i="6"/>
  <c r="AA78" i="6"/>
  <c r="AB78" i="6" s="1"/>
  <c r="AC78" i="6" s="1"/>
  <c r="AD78" i="6" s="1"/>
  <c r="AA52" i="6"/>
  <c r="AB52" i="6" s="1"/>
  <c r="E17" i="8"/>
  <c r="F237" i="13"/>
  <c r="F232" i="13"/>
  <c r="E228" i="13"/>
  <c r="I228" i="13" s="1"/>
  <c r="F224" i="13"/>
  <c r="J224" i="13" s="1"/>
  <c r="AA231" i="13" s="1"/>
  <c r="AI231" i="13" s="1"/>
  <c r="E223" i="13"/>
  <c r="I223" i="13" s="1"/>
  <c r="E220" i="13"/>
  <c r="I220" i="13" s="1"/>
  <c r="E218" i="13"/>
  <c r="I218" i="13" s="1"/>
  <c r="F214" i="13"/>
  <c r="J214" i="13" s="1"/>
  <c r="AA219" i="13" s="1"/>
  <c r="AI219" i="13" s="1"/>
  <c r="F213" i="13"/>
  <c r="J213" i="13" s="1"/>
  <c r="AA218" i="13" s="1"/>
  <c r="AI218" i="13" s="1"/>
  <c r="F211" i="13"/>
  <c r="F209" i="13"/>
  <c r="F206" i="13"/>
  <c r="F203" i="13"/>
  <c r="F201" i="13"/>
  <c r="J201" i="13" s="1"/>
  <c r="AA206" i="13" s="1"/>
  <c r="AI206" i="13" s="1"/>
  <c r="F200" i="13"/>
  <c r="F197" i="13"/>
  <c r="J197" i="13" s="1"/>
  <c r="AA202" i="13" s="1"/>
  <c r="AI202" i="13" s="1"/>
  <c r="F192" i="13"/>
  <c r="J192" i="13" s="1"/>
  <c r="AA197" i="13" s="1"/>
  <c r="AI197" i="13" s="1"/>
  <c r="E191" i="13"/>
  <c r="F185" i="13"/>
  <c r="J185" i="13" s="1"/>
  <c r="AA190" i="13" s="1"/>
  <c r="AI190" i="13" s="1"/>
  <c r="E183" i="13"/>
  <c r="E181" i="13"/>
  <c r="I181" i="13" s="1"/>
  <c r="Z78" i="6"/>
  <c r="W76" i="6"/>
  <c r="X76" i="6" s="1"/>
  <c r="AB76" i="6" s="1"/>
  <c r="AC76" i="6" s="1"/>
  <c r="AD76" i="6" s="1"/>
  <c r="W74" i="6"/>
  <c r="X74" i="6" s="1"/>
  <c r="AB74" i="6" s="1"/>
  <c r="R72" i="6"/>
  <c r="S72" i="6" s="1"/>
  <c r="T72" i="6" s="1"/>
  <c r="W66" i="6"/>
  <c r="X66" i="6" s="1"/>
  <c r="AB66" i="6" s="1"/>
  <c r="W60" i="6"/>
  <c r="X60" i="6" s="1"/>
  <c r="AB60" i="6" s="1"/>
  <c r="AC60" i="6" s="1"/>
  <c r="AD60" i="6" s="1"/>
  <c r="M73" i="6"/>
  <c r="W54" i="6"/>
  <c r="X54" i="6" s="1"/>
  <c r="W50" i="6"/>
  <c r="X50" i="6" s="1"/>
  <c r="Z48" i="6"/>
  <c r="AA48" i="6" s="1"/>
  <c r="AB48" i="6" s="1"/>
  <c r="Z46" i="6"/>
  <c r="W46" i="6"/>
  <c r="X46" i="6" s="1"/>
  <c r="W40" i="6"/>
  <c r="X40" i="6" s="1"/>
  <c r="W36" i="6"/>
  <c r="X36" i="6" s="1"/>
  <c r="AB36" i="6" s="1"/>
  <c r="AC36" i="6" s="1"/>
  <c r="AD36" i="6" s="1"/>
  <c r="W30" i="6"/>
  <c r="X30" i="6" s="1"/>
  <c r="W26" i="6"/>
  <c r="X26" i="6" s="1"/>
  <c r="W14" i="6"/>
  <c r="X14" i="6" s="1"/>
  <c r="AB14" i="6" s="1"/>
  <c r="J205" i="13"/>
  <c r="AA210" i="13" s="1"/>
  <c r="AI210" i="13" s="1"/>
  <c r="DJ181" i="13"/>
  <c r="DK181" i="13" s="1"/>
  <c r="FZ181" i="13"/>
  <c r="GB181" i="13" s="1"/>
  <c r="DL181" i="13"/>
  <c r="L19" i="13"/>
  <c r="M19" i="13"/>
  <c r="N19" i="13"/>
  <c r="I215" i="13"/>
  <c r="J211" i="13"/>
  <c r="AA216" i="13" s="1"/>
  <c r="AI216" i="13" s="1"/>
  <c r="J209" i="13"/>
  <c r="AA214" i="13" s="1"/>
  <c r="AI214" i="13" s="1"/>
  <c r="I207" i="13"/>
  <c r="J200" i="13"/>
  <c r="AA205" i="13" s="1"/>
  <c r="AI205" i="13" s="1"/>
  <c r="I191" i="13"/>
  <c r="I183" i="13"/>
  <c r="AR182" i="13"/>
  <c r="AS182" i="13" s="1"/>
  <c r="AU182" i="13" s="1"/>
  <c r="HH181" i="13"/>
  <c r="AO183" i="13"/>
  <c r="GG182" i="13"/>
  <c r="HG182" i="13"/>
  <c r="P183" i="13"/>
  <c r="S183" i="13" s="1"/>
  <c r="T183" i="13" s="1"/>
  <c r="N181" i="13"/>
  <c r="BV181" i="13"/>
  <c r="AO181" i="13"/>
  <c r="J237" i="13"/>
  <c r="AA246" i="13" s="1"/>
  <c r="AI246" i="13" s="1"/>
  <c r="J232" i="13"/>
  <c r="AA240" i="13" s="1"/>
  <c r="AI240" i="13" s="1"/>
  <c r="J221" i="13"/>
  <c r="AA228" i="13" s="1"/>
  <c r="AI228" i="13" s="1"/>
  <c r="I217" i="13"/>
  <c r="I216" i="13"/>
  <c r="I214" i="13"/>
  <c r="J199" i="13"/>
  <c r="AA204" i="13" s="1"/>
  <c r="AI204" i="13" s="1"/>
  <c r="J191" i="13"/>
  <c r="AA196" i="13" s="1"/>
  <c r="AI196" i="13" s="1"/>
  <c r="I188" i="13"/>
  <c r="J183" i="13"/>
  <c r="AA188" i="13" s="1"/>
  <c r="AI188" i="13" s="1"/>
  <c r="I203" i="13"/>
  <c r="J206" i="13"/>
  <c r="AA211" i="13" s="1"/>
  <c r="AI211" i="13" s="1"/>
  <c r="G31" i="24"/>
  <c r="H31" i="24"/>
  <c r="AX40" i="24"/>
  <c r="AP40" i="24"/>
  <c r="G37" i="24"/>
  <c r="AM37" i="24"/>
  <c r="BG37" i="24"/>
  <c r="Z40" i="24"/>
  <c r="H40" i="24"/>
  <c r="J40" i="24" s="1"/>
  <c r="AJ40" i="24"/>
  <c r="T40" i="24"/>
  <c r="V40" i="24" s="1"/>
  <c r="AT40" i="24"/>
  <c r="BD40" i="24" s="1"/>
  <c r="BN40" i="24" s="1"/>
  <c r="BX40" i="24" s="1"/>
  <c r="AD40" i="24"/>
  <c r="AF40" i="24" s="1"/>
  <c r="J33" i="24"/>
  <c r="V33" i="24" s="1"/>
  <c r="AC33" i="24" s="1"/>
  <c r="AD33" i="24" s="1"/>
  <c r="AC40" i="24" s="1"/>
  <c r="AE40" i="24" s="1"/>
  <c r="G17" i="5"/>
  <c r="AA184" i="13"/>
  <c r="Z183" i="13"/>
  <c r="AE183" i="13" s="1"/>
  <c r="AB64" i="6"/>
  <c r="AC64" i="6"/>
  <c r="AD64" i="6" s="1"/>
  <c r="GA181" i="13"/>
  <c r="AD181" i="13"/>
  <c r="AA181" i="13"/>
  <c r="AE181" i="13"/>
  <c r="R19" i="8"/>
  <c r="Q40" i="8"/>
  <c r="S181" i="13"/>
  <c r="T181" i="13" s="1"/>
  <c r="BX182" i="13"/>
  <c r="BW182" i="13"/>
  <c r="O182" i="13"/>
  <c r="P182" i="13"/>
  <c r="X182" i="13"/>
  <c r="Y182" i="13" s="1"/>
  <c r="DL182" i="13"/>
  <c r="DN182" i="13" s="1"/>
  <c r="DJ183" i="13"/>
  <c r="DK183" i="13" s="1"/>
  <c r="HG183" i="13"/>
  <c r="HH183" i="13" s="1"/>
  <c r="BV183" i="13"/>
  <c r="BK183" i="13"/>
  <c r="BL183" i="13"/>
  <c r="ES181" i="13"/>
  <c r="EU181" i="13" s="1"/>
  <c r="S50" i="6"/>
  <c r="Y50" i="6"/>
  <c r="AA50" i="6" s="1"/>
  <c r="AB50" i="6" s="1"/>
  <c r="AB34" i="6"/>
  <c r="AC34" i="6" s="1"/>
  <c r="AD34" i="6" s="1"/>
  <c r="O22" i="22"/>
  <c r="P22" i="22" s="1"/>
  <c r="R23" i="22"/>
  <c r="S23" i="22" s="1"/>
  <c r="W23" i="22" s="1"/>
  <c r="I23" i="22" s="1"/>
  <c r="S26" i="6"/>
  <c r="Y26" i="6"/>
  <c r="AA26" i="6" s="1"/>
  <c r="AC20" i="6"/>
  <c r="T20" i="6"/>
  <c r="S32" i="6"/>
  <c r="Y32" i="6"/>
  <c r="AA32" i="6" s="1"/>
  <c r="AB32" i="6" s="1"/>
  <c r="S30" i="6"/>
  <c r="Y30" i="6"/>
  <c r="AA30" i="6" s="1"/>
  <c r="AB30" i="6" s="1"/>
  <c r="T22" i="6"/>
  <c r="S12" i="6"/>
  <c r="Y12" i="6"/>
  <c r="AA12" i="6" s="1"/>
  <c r="AB12" i="6" s="1"/>
  <c r="R48" i="22"/>
  <c r="S48" i="22" s="1"/>
  <c r="W48" i="22" s="1"/>
  <c r="F48" i="22" s="1"/>
  <c r="A26" i="22"/>
  <c r="D25" i="22"/>
  <c r="M25" i="22" s="1"/>
  <c r="D21" i="22"/>
  <c r="M21" i="22" s="1"/>
  <c r="A20" i="22"/>
  <c r="E202" i="13"/>
  <c r="I202" i="13" s="1"/>
  <c r="AC24" i="6"/>
  <c r="AC14" i="6"/>
  <c r="L15" i="6" s="1"/>
  <c r="AB28" i="6"/>
  <c r="AC28" i="6" s="1"/>
  <c r="AD28" i="6" s="1"/>
  <c r="N24" i="22"/>
  <c r="I226" i="13"/>
  <c r="AD10" i="6"/>
  <c r="M11" i="6" s="1"/>
  <c r="S6" i="6"/>
  <c r="Y6" i="6"/>
  <c r="AA6" i="6" s="1"/>
  <c r="AB6" i="6" s="1"/>
  <c r="J203" i="13"/>
  <c r="AA208" i="13" s="1"/>
  <c r="AD18" i="6"/>
  <c r="M19" i="6" s="1"/>
  <c r="AC16" i="6"/>
  <c r="AD16" i="6" s="1"/>
  <c r="M17" i="6" s="1"/>
  <c r="S56" i="6"/>
  <c r="Y56" i="6"/>
  <c r="AA56" i="6" s="1"/>
  <c r="AB56" i="6" s="1"/>
  <c r="S80" i="6"/>
  <c r="Y80" i="6"/>
  <c r="AA80" i="6" s="1"/>
  <c r="AB80" i="6" s="1"/>
  <c r="D22" i="6"/>
  <c r="AD24" i="6"/>
  <c r="E221" i="13"/>
  <c r="I221" i="13" s="1"/>
  <c r="E219" i="13"/>
  <c r="I219" i="13" s="1"/>
  <c r="J215" i="13"/>
  <c r="AA221" i="13" s="1"/>
  <c r="T14" i="6"/>
  <c r="I206" i="13"/>
  <c r="I197" i="13"/>
  <c r="J228" i="13"/>
  <c r="AA235" i="13" s="1"/>
  <c r="F190" i="13"/>
  <c r="J190" i="13" s="1"/>
  <c r="AA195" i="13" s="1"/>
  <c r="E190" i="13"/>
  <c r="I190" i="13" s="1"/>
  <c r="E227" i="13"/>
  <c r="I227" i="13" s="1"/>
  <c r="F235" i="13"/>
  <c r="J235" i="13" s="1"/>
  <c r="AA243" i="13" s="1"/>
  <c r="E211" i="13"/>
  <c r="I211" i="13" s="1"/>
  <c r="J223" i="13"/>
  <c r="AA230" i="13" s="1"/>
  <c r="F230" i="13"/>
  <c r="J230" i="13" s="1"/>
  <c r="AA237" i="13" s="1"/>
  <c r="F234" i="13"/>
  <c r="J234" i="13" s="1"/>
  <c r="AA242" i="13" s="1"/>
  <c r="E232" i="13"/>
  <c r="I232" i="13" s="1"/>
  <c r="J212" i="13"/>
  <c r="AA217" i="13" s="1"/>
  <c r="E185" i="13"/>
  <c r="I185" i="13" s="1"/>
  <c r="F220" i="13"/>
  <c r="J220" i="13" s="1"/>
  <c r="AA227" i="13" s="1"/>
  <c r="F217" i="13"/>
  <c r="J217" i="13" s="1"/>
  <c r="AA223" i="13" s="1"/>
  <c r="Y68" i="6"/>
  <c r="AA68" i="6" s="1"/>
  <c r="AB68" i="6" s="1"/>
  <c r="AC68" i="6" s="1"/>
  <c r="AD68" i="6" s="1"/>
  <c r="R62" i="6"/>
  <c r="O60" i="6"/>
  <c r="R58" i="6"/>
  <c r="R44" i="6"/>
  <c r="Y72" i="6"/>
  <c r="AA72" i="6" s="1"/>
  <c r="AB72" i="6" s="1"/>
  <c r="AC72" i="6" s="1"/>
  <c r="AD72" i="6" s="1"/>
  <c r="N60" i="6"/>
  <c r="S48" i="6"/>
  <c r="L59" i="6"/>
  <c r="R38" i="6"/>
  <c r="E213" i="13"/>
  <c r="I213" i="13" s="1"/>
  <c r="E200" i="13"/>
  <c r="I200" i="13" s="1"/>
  <c r="N80" i="6"/>
  <c r="R70" i="6"/>
  <c r="N70" i="6"/>
  <c r="R54" i="6"/>
  <c r="Z50" i="6"/>
  <c r="O76" i="6"/>
  <c r="FZ182" i="13" l="1"/>
  <c r="FY183" i="13"/>
  <c r="BP182" i="13"/>
  <c r="EQ183" i="13"/>
  <c r="ER183" i="13" s="1"/>
  <c r="GB182" i="13"/>
  <c r="ES183" i="13"/>
  <c r="ET182" i="13"/>
  <c r="EW182" i="13" s="1"/>
  <c r="AT182" i="13"/>
  <c r="R181" i="13"/>
  <c r="U181" i="13" s="1"/>
  <c r="V181" i="13" s="1"/>
  <c r="BQ182" i="13"/>
  <c r="AD22" i="6"/>
  <c r="AB46" i="6"/>
  <c r="AC46" i="6" s="1"/>
  <c r="AD46" i="6" s="1"/>
  <c r="T66" i="6"/>
  <c r="AC66" i="6"/>
  <c r="EV182" i="13"/>
  <c r="L17" i="6"/>
  <c r="AD14" i="6"/>
  <c r="M15" i="6" s="1"/>
  <c r="AD8" i="6"/>
  <c r="M9" i="6" s="1"/>
  <c r="AC52" i="6"/>
  <c r="AD52" i="6" s="1"/>
  <c r="AD20" i="6"/>
  <c r="AB26" i="6"/>
  <c r="BO182" i="13"/>
  <c r="AC74" i="6"/>
  <c r="AD74" i="6" s="1"/>
  <c r="AB40" i="6"/>
  <c r="AC40" i="6" s="1"/>
  <c r="AD40" i="6" s="1"/>
  <c r="GA182" i="13"/>
  <c r="BM181" i="13"/>
  <c r="BN181" i="13"/>
  <c r="DN181" i="13"/>
  <c r="R182" i="13"/>
  <c r="BW181" i="13"/>
  <c r="BX181" i="13"/>
  <c r="HK181" i="13"/>
  <c r="HJ181" i="13"/>
  <c r="DM181" i="13"/>
  <c r="R183" i="13"/>
  <c r="U183" i="13" s="1"/>
  <c r="V183" i="13" s="1"/>
  <c r="S247" i="13" s="1"/>
  <c r="DM182" i="13"/>
  <c r="AQ181" i="13"/>
  <c r="AR181" i="13"/>
  <c r="HH182" i="13"/>
  <c r="HI182" i="13"/>
  <c r="AR183" i="13"/>
  <c r="AQ183" i="13"/>
  <c r="BR182" i="13"/>
  <c r="G15" i="24"/>
  <c r="AW37" i="24"/>
  <c r="AN37" i="24"/>
  <c r="AO37" i="24" s="1"/>
  <c r="S37" i="24"/>
  <c r="H37" i="24"/>
  <c r="AG31" i="24"/>
  <c r="AZ40" i="24"/>
  <c r="BH40" i="24"/>
  <c r="AG40" i="24"/>
  <c r="AH40" i="24" s="1"/>
  <c r="AI40" i="24" s="1"/>
  <c r="AK40" i="24" s="1"/>
  <c r="AI31" i="24" s="1"/>
  <c r="AH31" i="24"/>
  <c r="AD46" i="24" s="1"/>
  <c r="AF46" i="24" s="1"/>
  <c r="BQ37" i="24"/>
  <c r="BH37" i="24"/>
  <c r="BI37" i="24" s="1"/>
  <c r="AI227" i="13"/>
  <c r="T30" i="6"/>
  <c r="AC30" i="6"/>
  <c r="Z182" i="13"/>
  <c r="AA182" i="13" s="1"/>
  <c r="AI235" i="13"/>
  <c r="D20" i="22"/>
  <c r="M20" i="22" s="1"/>
  <c r="A19" i="22"/>
  <c r="T50" i="6"/>
  <c r="AC50" i="6"/>
  <c r="AF181" i="13"/>
  <c r="AH181" i="13" s="1"/>
  <c r="Q184" i="13" s="1"/>
  <c r="AA183" i="13"/>
  <c r="AI195" i="13"/>
  <c r="S58" i="6"/>
  <c r="Y58" i="6"/>
  <c r="AA58" i="6" s="1"/>
  <c r="AB58" i="6" s="1"/>
  <c r="AI242" i="13"/>
  <c r="AI243" i="13"/>
  <c r="AI221" i="13"/>
  <c r="T80" i="6"/>
  <c r="AC80" i="6"/>
  <c r="AI208" i="13"/>
  <c r="AA21" i="22"/>
  <c r="G21" i="22" s="1"/>
  <c r="N21" i="22"/>
  <c r="T32" i="6"/>
  <c r="AD32" i="6" s="1"/>
  <c r="AC32" i="6"/>
  <c r="DQ182" i="13"/>
  <c r="DP182" i="13"/>
  <c r="DO182" i="13"/>
  <c r="O24" i="22"/>
  <c r="P24" i="22" s="1"/>
  <c r="CR182" i="13"/>
  <c r="CS182" i="13" s="1"/>
  <c r="BY182" i="13"/>
  <c r="BZ182" i="13" s="1"/>
  <c r="CA182" i="13" s="1"/>
  <c r="CB182" i="13" s="1"/>
  <c r="CC182" i="13" s="1"/>
  <c r="CD182" i="13" s="1"/>
  <c r="CE182" i="13" s="1"/>
  <c r="CF182" i="13" s="1"/>
  <c r="CG182" i="13" s="1"/>
  <c r="CH182" i="13" s="1"/>
  <c r="CI182" i="13" s="1"/>
  <c r="CJ182" i="13" s="1"/>
  <c r="CK182" i="13" s="1"/>
  <c r="AC56" i="6"/>
  <c r="T56" i="6"/>
  <c r="T6" i="6"/>
  <c r="AC6" i="6"/>
  <c r="L7" i="6" s="1"/>
  <c r="T12" i="6"/>
  <c r="AC12" i="6"/>
  <c r="L13" i="6" s="1"/>
  <c r="BM183" i="13"/>
  <c r="BN183" i="13"/>
  <c r="ET181" i="13"/>
  <c r="EV181" i="13" s="1"/>
  <c r="CL182" i="13"/>
  <c r="CM182" i="13" s="1"/>
  <c r="CN182" i="13" s="1"/>
  <c r="CO182" i="13" s="1"/>
  <c r="CP182" i="13" s="1"/>
  <c r="S182" i="13"/>
  <c r="T182" i="13" s="1"/>
  <c r="U182" i="13" s="1"/>
  <c r="V182" i="13" s="1"/>
  <c r="R247" i="13" s="1"/>
  <c r="AI217" i="13"/>
  <c r="A27" i="22"/>
  <c r="D26" i="22"/>
  <c r="M26" i="22" s="1"/>
  <c r="Y62" i="6"/>
  <c r="AA62" i="6" s="1"/>
  <c r="AB62" i="6" s="1"/>
  <c r="S62" i="6"/>
  <c r="GD181" i="13"/>
  <c r="GC181" i="13"/>
  <c r="GE181" i="13"/>
  <c r="S54" i="6"/>
  <c r="Y54" i="6"/>
  <c r="AA54" i="6" s="1"/>
  <c r="AB54" i="6" s="1"/>
  <c r="T48" i="6"/>
  <c r="AC48" i="6"/>
  <c r="AI237" i="13"/>
  <c r="BW183" i="13"/>
  <c r="BY183" i="13" s="1"/>
  <c r="BZ183" i="13" s="1"/>
  <c r="CA183" i="13" s="1"/>
  <c r="CB183" i="13" s="1"/>
  <c r="CC183" i="13" s="1"/>
  <c r="CD183" i="13" s="1"/>
  <c r="CE183" i="13" s="1"/>
  <c r="CF183" i="13" s="1"/>
  <c r="CG183" i="13" s="1"/>
  <c r="CH183" i="13" s="1"/>
  <c r="BX183" i="13"/>
  <c r="AC183" i="13"/>
  <c r="V184" i="13" s="1"/>
  <c r="S38" i="6"/>
  <c r="Y38" i="6"/>
  <c r="AA38" i="6" s="1"/>
  <c r="AB38" i="6" s="1"/>
  <c r="AI230" i="13"/>
  <c r="AC26" i="6"/>
  <c r="T26" i="6"/>
  <c r="Q22" i="22"/>
  <c r="T22" i="22" s="1"/>
  <c r="AD183" i="13"/>
  <c r="AF183" i="13" s="1"/>
  <c r="AH183" i="13" s="1"/>
  <c r="S184" i="13" s="1"/>
  <c r="S44" i="6"/>
  <c r="Y44" i="6"/>
  <c r="AA44" i="6" s="1"/>
  <c r="AB44" i="6" s="1"/>
  <c r="GO182" i="13"/>
  <c r="FG182" i="13"/>
  <c r="AV182" i="13"/>
  <c r="AX182" i="13" s="1"/>
  <c r="HZ182" i="13"/>
  <c r="AW182" i="13"/>
  <c r="DY182" i="13"/>
  <c r="IA182" i="13"/>
  <c r="DZ182" i="13"/>
  <c r="FF182" i="13"/>
  <c r="GP182" i="13"/>
  <c r="S70" i="6"/>
  <c r="Y70" i="6"/>
  <c r="AA70" i="6" s="1"/>
  <c r="AB70" i="6" s="1"/>
  <c r="AI223" i="13"/>
  <c r="L21" i="6"/>
  <c r="M21" i="6"/>
  <c r="D24" i="6"/>
  <c r="AA25" i="22"/>
  <c r="G25" i="22" s="1"/>
  <c r="N25" i="22"/>
  <c r="O25" i="22"/>
  <c r="P25" i="22" s="1"/>
  <c r="DL183" i="13"/>
  <c r="DN183" i="13" s="1"/>
  <c r="HI183" i="13"/>
  <c r="HK183" i="13" s="1"/>
  <c r="E19" i="8"/>
  <c r="E20" i="8" s="1"/>
  <c r="AI184" i="13"/>
  <c r="Y225" i="13" l="1"/>
  <c r="Y234" i="13"/>
  <c r="Y206" i="13"/>
  <c r="Y216" i="13"/>
  <c r="Y213" i="13"/>
  <c r="Y211" i="13"/>
  <c r="Y235" i="13"/>
  <c r="AJ235" i="13" s="1"/>
  <c r="Y201" i="13"/>
  <c r="Y227" i="13"/>
  <c r="AJ227" i="13" s="1"/>
  <c r="Y221" i="13"/>
  <c r="AJ221" i="13" s="1"/>
  <c r="Y240" i="13"/>
  <c r="Y232" i="13"/>
  <c r="Y222" i="13"/>
  <c r="Y219" i="13"/>
  <c r="Y203" i="13"/>
  <c r="Y188" i="13"/>
  <c r="Y214" i="13"/>
  <c r="Y187" i="13"/>
  <c r="Y210" i="13"/>
  <c r="Y197" i="13"/>
  <c r="Y226" i="13"/>
  <c r="Y223" i="13"/>
  <c r="Y246" i="13"/>
  <c r="Y209" i="13"/>
  <c r="Y198" i="13"/>
  <c r="Y241" i="13"/>
  <c r="CI183" i="13"/>
  <c r="CJ183" i="13" s="1"/>
  <c r="BS182" i="13"/>
  <c r="BT182" i="13" s="1"/>
  <c r="GB183" i="13"/>
  <c r="GA183" i="13"/>
  <c r="CQ182" i="13"/>
  <c r="Q247" i="13"/>
  <c r="Y204" i="13"/>
  <c r="Y207" i="13"/>
  <c r="Y190" i="13"/>
  <c r="GD182" i="13"/>
  <c r="EX182" i="13"/>
  <c r="ET183" i="13"/>
  <c r="EU183" i="13"/>
  <c r="GE182" i="13"/>
  <c r="GC182" i="13"/>
  <c r="GI182" i="13" s="1"/>
  <c r="GJ182" i="13" s="1"/>
  <c r="GN182" i="13" s="1"/>
  <c r="GS182" i="13" s="1"/>
  <c r="R22" i="22"/>
  <c r="S22" i="22" s="1"/>
  <c r="AD12" i="6"/>
  <c r="M13" i="6" s="1"/>
  <c r="AD80" i="6"/>
  <c r="Y191" i="13"/>
  <c r="AB191" i="13" s="1"/>
  <c r="Y194" i="13"/>
  <c r="Y202" i="13"/>
  <c r="AB202" i="13" s="1"/>
  <c r="Y215" i="13"/>
  <c r="Y228" i="13"/>
  <c r="Z228" i="13" s="1"/>
  <c r="AC228" i="13" s="1"/>
  <c r="Y237" i="13"/>
  <c r="Y230" i="13"/>
  <c r="Y239" i="13"/>
  <c r="Y212" i="13"/>
  <c r="AB212" i="13" s="1"/>
  <c r="Y243" i="13"/>
  <c r="Y193" i="13"/>
  <c r="AJ193" i="13" s="1"/>
  <c r="Y236" i="13"/>
  <c r="Y217" i="13"/>
  <c r="AE217" i="13" s="1"/>
  <c r="Y242" i="13"/>
  <c r="Y229" i="13"/>
  <c r="AJ229" i="13" s="1"/>
  <c r="Y233" i="13"/>
  <c r="Y218" i="13"/>
  <c r="AE218" i="13" s="1"/>
  <c r="Y205" i="13"/>
  <c r="Y231" i="13"/>
  <c r="Z231" i="13" s="1"/>
  <c r="AC231" i="13" s="1"/>
  <c r="Y196" i="13"/>
  <c r="Y200" i="13"/>
  <c r="AB200" i="13" s="1"/>
  <c r="Y199" i="13"/>
  <c r="Y208" i="13"/>
  <c r="Y244" i="13"/>
  <c r="Y186" i="13"/>
  <c r="Z186" i="13" s="1"/>
  <c r="AC186" i="13" s="1"/>
  <c r="Y189" i="13"/>
  <c r="Y192" i="13"/>
  <c r="AB192" i="13" s="1"/>
  <c r="Y195" i="13"/>
  <c r="AJ195" i="13" s="1"/>
  <c r="BQ181" i="13"/>
  <c r="BO181" i="13"/>
  <c r="BP181" i="13"/>
  <c r="EY182" i="13"/>
  <c r="EZ182" i="13"/>
  <c r="FA182" i="13" s="1"/>
  <c r="FE182" i="13" s="1"/>
  <c r="FJ182" i="13" s="1"/>
  <c r="AD66" i="6"/>
  <c r="HJ183" i="13"/>
  <c r="HL183" i="13" s="1"/>
  <c r="DO181" i="13"/>
  <c r="AE195" i="13"/>
  <c r="HJ182" i="13"/>
  <c r="HK182" i="13"/>
  <c r="AS181" i="13"/>
  <c r="AU181" i="13" s="1"/>
  <c r="AT181" i="13"/>
  <c r="CL181" i="13"/>
  <c r="CM181" i="13" s="1"/>
  <c r="CN181" i="13" s="1"/>
  <c r="CO181" i="13" s="1"/>
  <c r="CP181" i="13" s="1"/>
  <c r="EW181" i="13"/>
  <c r="EY181" i="13" s="1"/>
  <c r="AS183" i="13"/>
  <c r="AU183" i="13" s="1"/>
  <c r="AT183" i="13"/>
  <c r="DP181" i="13"/>
  <c r="DR181" i="13" s="1"/>
  <c r="DQ181" i="13"/>
  <c r="HM181" i="13"/>
  <c r="HL181" i="13"/>
  <c r="HN181" i="13"/>
  <c r="BY181" i="13"/>
  <c r="BZ181" i="13" s="1"/>
  <c r="CA181" i="13" s="1"/>
  <c r="CB181" i="13" s="1"/>
  <c r="CC181" i="13" s="1"/>
  <c r="CD181" i="13" s="1"/>
  <c r="CE181" i="13" s="1"/>
  <c r="CF181" i="13" s="1"/>
  <c r="CG181" i="13" s="1"/>
  <c r="CH181" i="13" s="1"/>
  <c r="CI181" i="13" s="1"/>
  <c r="CJ181" i="13" s="1"/>
  <c r="CR181" i="13"/>
  <c r="CS181" i="13" s="1"/>
  <c r="Y15" i="24"/>
  <c r="G18" i="24"/>
  <c r="AJ46" i="24"/>
  <c r="AD43" i="24"/>
  <c r="AE43" i="24" s="1"/>
  <c r="AC46" i="24" s="1"/>
  <c r="AE46" i="24" s="1"/>
  <c r="BR40" i="24"/>
  <c r="BT40" i="24" s="1"/>
  <c r="BJ40" i="24"/>
  <c r="BR37" i="24"/>
  <c r="BS37" i="24" s="1"/>
  <c r="BT37" i="24" s="1"/>
  <c r="BJ37" i="24"/>
  <c r="AX37" i="24"/>
  <c r="AY37" i="24" s="1"/>
  <c r="AZ37" i="24" s="1"/>
  <c r="AP37" i="24"/>
  <c r="T37" i="24"/>
  <c r="U37" i="24" s="1"/>
  <c r="V37" i="24" s="1"/>
  <c r="I37" i="24"/>
  <c r="J37" i="24" s="1"/>
  <c r="AK227" i="13"/>
  <c r="AN227" i="13"/>
  <c r="V12" i="8"/>
  <c r="E22" i="8"/>
  <c r="E32" i="8"/>
  <c r="E33" i="8" s="1"/>
  <c r="E34" i="8" s="1"/>
  <c r="E41" i="8"/>
  <c r="E43" i="8" s="1"/>
  <c r="E45" i="8" s="1"/>
  <c r="HM183" i="13"/>
  <c r="AJ212" i="13"/>
  <c r="Z212" i="13"/>
  <c r="AC212" i="13" s="1"/>
  <c r="M23" i="6"/>
  <c r="D26" i="6"/>
  <c r="L23" i="6"/>
  <c r="AY182" i="13"/>
  <c r="BA182" i="13" s="1"/>
  <c r="AZ182" i="13"/>
  <c r="AC38" i="6"/>
  <c r="T38" i="6"/>
  <c r="AN221" i="13"/>
  <c r="AK221" i="13"/>
  <c r="AB219" i="13"/>
  <c r="AE219" i="13"/>
  <c r="AJ219" i="13"/>
  <c r="Z219" i="13"/>
  <c r="AC219" i="13" s="1"/>
  <c r="AJ232" i="13"/>
  <c r="AB232" i="13"/>
  <c r="AE232" i="13"/>
  <c r="Z232" i="13"/>
  <c r="AC232" i="13" s="1"/>
  <c r="AB221" i="13"/>
  <c r="Z221" i="13"/>
  <c r="AC221" i="13" s="1"/>
  <c r="AJ201" i="13"/>
  <c r="Z201" i="13"/>
  <c r="AC201" i="13" s="1"/>
  <c r="AB201" i="13"/>
  <c r="AE201" i="13"/>
  <c r="Z211" i="13"/>
  <c r="AC211" i="13" s="1"/>
  <c r="AE211" i="13"/>
  <c r="AB211" i="13"/>
  <c r="AJ211" i="13"/>
  <c r="AE216" i="13"/>
  <c r="Z216" i="13"/>
  <c r="AC216" i="13" s="1"/>
  <c r="AB216" i="13"/>
  <c r="AJ216" i="13"/>
  <c r="AE206" i="13"/>
  <c r="AJ206" i="13"/>
  <c r="Z206" i="13"/>
  <c r="AC206" i="13" s="1"/>
  <c r="AB206" i="13"/>
  <c r="AJ234" i="13"/>
  <c r="AE234" i="13"/>
  <c r="Z234" i="13"/>
  <c r="AC234" i="13" s="1"/>
  <c r="AB234" i="13"/>
  <c r="Y184" i="13"/>
  <c r="D19" i="22"/>
  <c r="M19" i="22" s="1"/>
  <c r="A18" i="22"/>
  <c r="AD30" i="6"/>
  <c r="EX181" i="13"/>
  <c r="AJ200" i="13"/>
  <c r="Z200" i="13"/>
  <c r="AC200" i="13" s="1"/>
  <c r="Z225" i="13"/>
  <c r="AC225" i="13" s="1"/>
  <c r="AB225" i="13"/>
  <c r="AE225" i="13"/>
  <c r="AJ225" i="13"/>
  <c r="W22" i="22"/>
  <c r="I22" i="22" s="1"/>
  <c r="AD48" i="6"/>
  <c r="Q24" i="22"/>
  <c r="T24" i="22" s="1"/>
  <c r="AE221" i="13"/>
  <c r="AJ194" i="13"/>
  <c r="AE194" i="13"/>
  <c r="AB194" i="13"/>
  <c r="Z194" i="13"/>
  <c r="AC194" i="13" s="1"/>
  <c r="Z237" i="13"/>
  <c r="AC237" i="13" s="1"/>
  <c r="AB237" i="13"/>
  <c r="AB243" i="13"/>
  <c r="Z243" i="13"/>
  <c r="AC243" i="13" s="1"/>
  <c r="Z242" i="13"/>
  <c r="AC242" i="13" s="1"/>
  <c r="AB242" i="13"/>
  <c r="AJ205" i="13"/>
  <c r="AB205" i="13"/>
  <c r="Z205" i="13"/>
  <c r="AC205" i="13" s="1"/>
  <c r="AE205" i="13"/>
  <c r="AJ199" i="13"/>
  <c r="Z199" i="13"/>
  <c r="AC199" i="13" s="1"/>
  <c r="AE199" i="13"/>
  <c r="AB199" i="13"/>
  <c r="AD199" i="13" s="1"/>
  <c r="AJ189" i="13"/>
  <c r="AE189" i="13"/>
  <c r="AB189" i="13"/>
  <c r="Z189" i="13"/>
  <c r="AC189" i="13" s="1"/>
  <c r="N20" i="22"/>
  <c r="O20" i="22" s="1"/>
  <c r="P20" i="22" s="1"/>
  <c r="AA20" i="22"/>
  <c r="G20" i="22" s="1"/>
  <c r="AE227" i="13"/>
  <c r="AN235" i="13"/>
  <c r="AK235" i="13"/>
  <c r="T70" i="6"/>
  <c r="AD70" i="6" s="1"/>
  <c r="AC70" i="6"/>
  <c r="BB182" i="13"/>
  <c r="BC182" i="13" s="1"/>
  <c r="CL183" i="13"/>
  <c r="CM183" i="13" s="1"/>
  <c r="CN183" i="13" s="1"/>
  <c r="CO183" i="13" s="1"/>
  <c r="CP183" i="13" s="1"/>
  <c r="T62" i="6"/>
  <c r="AD62" i="6" s="1"/>
  <c r="AC62" i="6"/>
  <c r="BQ183" i="13"/>
  <c r="CR183" i="13"/>
  <c r="CS183" i="13" s="1"/>
  <c r="BO183" i="13"/>
  <c r="BP183" i="13"/>
  <c r="AD6" i="6"/>
  <c r="M7" i="6" s="1"/>
  <c r="O21" i="22"/>
  <c r="P21" i="22" s="1"/>
  <c r="Z241" i="13"/>
  <c r="AC241" i="13" s="1"/>
  <c r="AJ241" i="13"/>
  <c r="AE241" i="13"/>
  <c r="AB241" i="13"/>
  <c r="AE209" i="13"/>
  <c r="Z209" i="13"/>
  <c r="AC209" i="13" s="1"/>
  <c r="AB209" i="13"/>
  <c r="AJ209" i="13"/>
  <c r="Z223" i="13"/>
  <c r="AC223" i="13" s="1"/>
  <c r="AB223" i="13"/>
  <c r="AB197" i="13"/>
  <c r="AJ197" i="13"/>
  <c r="Z197" i="13"/>
  <c r="AC197" i="13" s="1"/>
  <c r="AE197" i="13"/>
  <c r="AJ187" i="13"/>
  <c r="AE187" i="13"/>
  <c r="AB187" i="13"/>
  <c r="Z187" i="13"/>
  <c r="AC187" i="13" s="1"/>
  <c r="AB207" i="13"/>
  <c r="AE207" i="13"/>
  <c r="Z207" i="13"/>
  <c r="AC207" i="13" s="1"/>
  <c r="AJ207" i="13"/>
  <c r="AD50" i="6"/>
  <c r="AJ191" i="13"/>
  <c r="Z191" i="13"/>
  <c r="AC191" i="13" s="1"/>
  <c r="T54" i="6"/>
  <c r="AC54" i="6"/>
  <c r="AD56" i="6"/>
  <c r="AJ202" i="13"/>
  <c r="AE202" i="13"/>
  <c r="AB230" i="13"/>
  <c r="AE193" i="13"/>
  <c r="AB193" i="13"/>
  <c r="AE229" i="13"/>
  <c r="AB229" i="13"/>
  <c r="AE231" i="13"/>
  <c r="AJ231" i="13"/>
  <c r="Z208" i="13"/>
  <c r="AC208" i="13" s="1"/>
  <c r="AE192" i="13"/>
  <c r="Z192" i="13"/>
  <c r="AC192" i="13" s="1"/>
  <c r="AK195" i="13"/>
  <c r="AN195" i="13"/>
  <c r="AE228" i="13"/>
  <c r="AJ228" i="13"/>
  <c r="AC44" i="6"/>
  <c r="T44" i="6"/>
  <c r="AC58" i="6"/>
  <c r="T58" i="6"/>
  <c r="Z222" i="13"/>
  <c r="AC222" i="13" s="1"/>
  <c r="AE222" i="13"/>
  <c r="AJ222" i="13"/>
  <c r="AB222" i="13"/>
  <c r="AJ240" i="13"/>
  <c r="AE240" i="13"/>
  <c r="AB240" i="13"/>
  <c r="Z240" i="13"/>
  <c r="AC240" i="13" s="1"/>
  <c r="Z227" i="13"/>
  <c r="AC227" i="13" s="1"/>
  <c r="AB227" i="13"/>
  <c r="AB235" i="13"/>
  <c r="Z235" i="13"/>
  <c r="AC235" i="13" s="1"/>
  <c r="AE213" i="13"/>
  <c r="Z213" i="13"/>
  <c r="AC213" i="13" s="1"/>
  <c r="AB213" i="13"/>
  <c r="AJ213" i="13"/>
  <c r="AE188" i="13"/>
  <c r="Z188" i="13"/>
  <c r="AC188" i="13" s="1"/>
  <c r="AJ188" i="13"/>
  <c r="AB188" i="13"/>
  <c r="Z203" i="13"/>
  <c r="AC203" i="13" s="1"/>
  <c r="AB203" i="13"/>
  <c r="AE203" i="13"/>
  <c r="AJ203" i="13"/>
  <c r="AD182" i="13"/>
  <c r="AC182" i="13"/>
  <c r="U184" i="13" s="1"/>
  <c r="AE182" i="13"/>
  <c r="AB218" i="13"/>
  <c r="Z218" i="13"/>
  <c r="AC218" i="13" s="1"/>
  <c r="N26" i="22"/>
  <c r="O26" i="22" s="1"/>
  <c r="P26" i="22" s="1"/>
  <c r="AA26" i="22"/>
  <c r="G26" i="22" s="1"/>
  <c r="CV182" i="13"/>
  <c r="CT182" i="13"/>
  <c r="CW182" i="13" s="1"/>
  <c r="CU182" i="13"/>
  <c r="D27" i="22"/>
  <c r="M27" i="22" s="1"/>
  <c r="A28" i="22"/>
  <c r="DS182" i="13"/>
  <c r="DT182" i="13" s="1"/>
  <c r="DX182" i="13" s="1"/>
  <c r="EC182" i="13" s="1"/>
  <c r="DR182" i="13"/>
  <c r="AE215" i="13"/>
  <c r="AJ215" i="13"/>
  <c r="Z215" i="13"/>
  <c r="AC215" i="13" s="1"/>
  <c r="AB215" i="13"/>
  <c r="AB239" i="13"/>
  <c r="Z239" i="13"/>
  <c r="AC239" i="13" s="1"/>
  <c r="AE239" i="13"/>
  <c r="AJ239" i="13"/>
  <c r="AE236" i="13"/>
  <c r="AJ236" i="13"/>
  <c r="Z236" i="13"/>
  <c r="AC236" i="13" s="1"/>
  <c r="AB236" i="13"/>
  <c r="AE233" i="13"/>
  <c r="AB233" i="13"/>
  <c r="AJ233" i="13"/>
  <c r="Z233" i="13"/>
  <c r="AC233" i="13" s="1"/>
  <c r="AB196" i="13"/>
  <c r="AE196" i="13"/>
  <c r="AJ196" i="13"/>
  <c r="Z196" i="13"/>
  <c r="AC196" i="13" s="1"/>
  <c r="AE244" i="13"/>
  <c r="AB244" i="13"/>
  <c r="AJ244" i="13"/>
  <c r="Z244" i="13"/>
  <c r="AC244" i="13" s="1"/>
  <c r="Z195" i="13"/>
  <c r="AC195" i="13" s="1"/>
  <c r="AB195" i="13"/>
  <c r="DM183" i="13"/>
  <c r="DO183" i="13" s="1"/>
  <c r="Z217" i="13"/>
  <c r="AC217" i="13" s="1"/>
  <c r="Q25" i="22"/>
  <c r="T25" i="22" s="1"/>
  <c r="AD26" i="6"/>
  <c r="GI181" i="13"/>
  <c r="GJ181" i="13" s="1"/>
  <c r="GN181" i="13" s="1"/>
  <c r="GS181" i="13" s="1"/>
  <c r="GF181" i="13"/>
  <c r="GH181" i="13" s="1"/>
  <c r="AJ217" i="13"/>
  <c r="AB198" i="13"/>
  <c r="AE198" i="13"/>
  <c r="Z198" i="13"/>
  <c r="AC198" i="13" s="1"/>
  <c r="AJ198" i="13"/>
  <c r="AJ246" i="13"/>
  <c r="AB246" i="13"/>
  <c r="AE246" i="13"/>
  <c r="Z246" i="13"/>
  <c r="AC246" i="13" s="1"/>
  <c r="AE226" i="13"/>
  <c r="AB226" i="13"/>
  <c r="Z226" i="13"/>
  <c r="AC226" i="13" s="1"/>
  <c r="AJ226" i="13"/>
  <c r="Z210" i="13"/>
  <c r="AC210" i="13" s="1"/>
  <c r="AB210" i="13"/>
  <c r="AE210" i="13"/>
  <c r="AJ210" i="13"/>
  <c r="AJ214" i="13"/>
  <c r="AB214" i="13"/>
  <c r="AE214" i="13"/>
  <c r="Z214" i="13"/>
  <c r="AC214" i="13" s="1"/>
  <c r="AE204" i="13"/>
  <c r="Z204" i="13"/>
  <c r="AC204" i="13" s="1"/>
  <c r="AB204" i="13"/>
  <c r="AJ204" i="13"/>
  <c r="AB190" i="13"/>
  <c r="AJ190" i="13"/>
  <c r="Z190" i="13"/>
  <c r="AC190" i="13" s="1"/>
  <c r="AE190" i="13"/>
  <c r="AE235" i="13"/>
  <c r="AE186" i="13" l="1"/>
  <c r="AJ223" i="13"/>
  <c r="AE223" i="13"/>
  <c r="AJ186" i="13"/>
  <c r="GE183" i="13"/>
  <c r="GD183" i="13"/>
  <c r="GC183" i="13"/>
  <c r="GF182" i="13"/>
  <c r="GH182" i="13" s="1"/>
  <c r="GL182" i="13" s="1"/>
  <c r="GQ182" i="13" s="1"/>
  <c r="GT182" i="13" s="1"/>
  <c r="EV183" i="13"/>
  <c r="EW183" i="13"/>
  <c r="EX183" i="13"/>
  <c r="EZ181" i="13"/>
  <c r="HN183" i="13"/>
  <c r="AJ208" i="13"/>
  <c r="AE208" i="13"/>
  <c r="AE230" i="13"/>
  <c r="AJ230" i="13"/>
  <c r="GM182" i="13"/>
  <c r="GR182" i="13" s="1"/>
  <c r="R25" i="22"/>
  <c r="S25" i="22" s="1"/>
  <c r="W25" i="22" s="1"/>
  <c r="I25" i="22" s="1"/>
  <c r="AB217" i="13"/>
  <c r="AJ218" i="13"/>
  <c r="AB228" i="13"/>
  <c r="AD228" i="13" s="1"/>
  <c r="AJ192" i="13"/>
  <c r="AB208" i="13"/>
  <c r="AB231" i="13"/>
  <c r="Z229" i="13"/>
  <c r="AC229" i="13" s="1"/>
  <c r="Z193" i="13"/>
  <c r="AC193" i="13" s="1"/>
  <c r="Z230" i="13"/>
  <c r="AC230" i="13" s="1"/>
  <c r="Z202" i="13"/>
  <c r="AC202" i="13" s="1"/>
  <c r="AD54" i="6"/>
  <c r="AE191" i="13"/>
  <c r="AE200" i="13"/>
  <c r="AD38" i="6"/>
  <c r="AB186" i="13"/>
  <c r="AE212" i="13"/>
  <c r="FD182" i="13"/>
  <c r="FI182" i="13" s="1"/>
  <c r="FC182" i="13"/>
  <c r="FH182" i="13" s="1"/>
  <c r="FK182" i="13" s="1"/>
  <c r="BR181" i="13"/>
  <c r="CK181" i="13" s="1"/>
  <c r="BS181" i="13"/>
  <c r="BT181" i="13" s="1"/>
  <c r="CQ181" i="13" s="1"/>
  <c r="CV181" i="13" s="1"/>
  <c r="AJ242" i="13"/>
  <c r="AE242" i="13"/>
  <c r="AE243" i="13"/>
  <c r="AJ243" i="13"/>
  <c r="AE237" i="13"/>
  <c r="AJ237" i="13"/>
  <c r="AD216" i="13"/>
  <c r="AF216" i="13" s="1"/>
  <c r="AD201" i="13"/>
  <c r="AF201" i="13" s="1"/>
  <c r="AD191" i="13"/>
  <c r="AD241" i="13"/>
  <c r="AF241" i="13" s="1"/>
  <c r="AD237" i="13"/>
  <c r="AF237" i="13" s="1"/>
  <c r="AG237" i="13" s="1"/>
  <c r="AH237" i="13" s="1"/>
  <c r="AM237" i="13" s="1"/>
  <c r="AD196" i="13"/>
  <c r="AF196" i="13" s="1"/>
  <c r="AD239" i="13"/>
  <c r="AF239" i="13" s="1"/>
  <c r="AG239" i="13" s="1"/>
  <c r="AH239" i="13" s="1"/>
  <c r="AM239" i="13" s="1"/>
  <c r="AD229" i="13"/>
  <c r="AF229" i="13" s="1"/>
  <c r="AD193" i="13"/>
  <c r="AF193" i="13" s="1"/>
  <c r="AG193" i="13" s="1"/>
  <c r="AH193" i="13" s="1"/>
  <c r="AM193" i="13" s="1"/>
  <c r="AD230" i="13"/>
  <c r="AF230" i="13" s="1"/>
  <c r="AD226" i="13"/>
  <c r="AD217" i="13"/>
  <c r="AF217" i="13" s="1"/>
  <c r="AD203" i="13"/>
  <c r="AF203" i="13" s="1"/>
  <c r="AD205" i="13"/>
  <c r="AF205" i="13" s="1"/>
  <c r="AG205" i="13" s="1"/>
  <c r="AH205" i="13" s="1"/>
  <c r="AM205" i="13" s="1"/>
  <c r="HO181" i="13"/>
  <c r="HQ181" i="13" s="1"/>
  <c r="HR181" i="13"/>
  <c r="HS181" i="13" s="1"/>
  <c r="HU181" i="13" s="1"/>
  <c r="HY181" i="13" s="1"/>
  <c r="ID181" i="13" s="1"/>
  <c r="DZ183" i="13"/>
  <c r="FF183" i="13"/>
  <c r="IA183" i="13"/>
  <c r="DY183" i="13"/>
  <c r="GO183" i="13"/>
  <c r="HZ183" i="13"/>
  <c r="AW183" i="13"/>
  <c r="AV183" i="13"/>
  <c r="AX183" i="13" s="1"/>
  <c r="GP183" i="13"/>
  <c r="FG183" i="13"/>
  <c r="AD190" i="13"/>
  <c r="AF190" i="13" s="1"/>
  <c r="AD198" i="13"/>
  <c r="AF198" i="13" s="1"/>
  <c r="AD244" i="13"/>
  <c r="AD233" i="13"/>
  <c r="AD240" i="13"/>
  <c r="AD192" i="13"/>
  <c r="AD202" i="13"/>
  <c r="AD187" i="13"/>
  <c r="AF187" i="13" s="1"/>
  <c r="AD209" i="13"/>
  <c r="AF209" i="13" s="1"/>
  <c r="AD243" i="13"/>
  <c r="AF243" i="13" s="1"/>
  <c r="AD225" i="13"/>
  <c r="AF225" i="13" s="1"/>
  <c r="AD206" i="13"/>
  <c r="AF206" i="13" s="1"/>
  <c r="AD232" i="13"/>
  <c r="AF232" i="13" s="1"/>
  <c r="AG232" i="13" s="1"/>
  <c r="AH232" i="13" s="1"/>
  <c r="AM232" i="13" s="1"/>
  <c r="HZ181" i="13"/>
  <c r="FF181" i="13"/>
  <c r="DZ181" i="13"/>
  <c r="AW181" i="13"/>
  <c r="GO181" i="13"/>
  <c r="DY181" i="13"/>
  <c r="GP181" i="13"/>
  <c r="FG181" i="13"/>
  <c r="IA181" i="13"/>
  <c r="AV181" i="13"/>
  <c r="AX181" i="13" s="1"/>
  <c r="HN182" i="13"/>
  <c r="HL182" i="13"/>
  <c r="HM182" i="13"/>
  <c r="DS181" i="13"/>
  <c r="DT181" i="13" s="1"/>
  <c r="DX181" i="13" s="1"/>
  <c r="EC181" i="13" s="1"/>
  <c r="AG32" i="24"/>
  <c r="Y18" i="24"/>
  <c r="G21" i="24"/>
  <c r="Y21" i="24" s="1"/>
  <c r="AW40" i="24"/>
  <c r="AY40" i="24" s="1"/>
  <c r="BB31" i="24"/>
  <c r="BQ40" i="24"/>
  <c r="BS40" i="24" s="1"/>
  <c r="BV31" i="24"/>
  <c r="O31" i="24"/>
  <c r="G40" i="24"/>
  <c r="I40" i="24" s="1"/>
  <c r="S40" i="24"/>
  <c r="U40" i="24" s="1"/>
  <c r="Y31" i="24"/>
  <c r="AH32" i="24"/>
  <c r="AD52" i="24" s="1"/>
  <c r="AF52" i="24" s="1"/>
  <c r="AG46" i="24"/>
  <c r="AH46" i="24" s="1"/>
  <c r="AI46" i="24" s="1"/>
  <c r="AK46" i="24" s="1"/>
  <c r="AI32" i="24" s="1"/>
  <c r="AM40" i="24"/>
  <c r="AO40" i="24" s="1"/>
  <c r="AR31" i="24"/>
  <c r="BG40" i="24"/>
  <c r="BI40" i="24" s="1"/>
  <c r="BL31" i="24"/>
  <c r="Q26" i="22"/>
  <c r="R26" i="22" s="1"/>
  <c r="S26" i="22" s="1"/>
  <c r="AG196" i="13"/>
  <c r="AH196" i="13" s="1"/>
  <c r="AM196" i="13" s="1"/>
  <c r="AG190" i="13"/>
  <c r="AH190" i="13" s="1"/>
  <c r="AM190" i="13" s="1"/>
  <c r="AK214" i="13"/>
  <c r="AN214" i="13"/>
  <c r="AG198" i="13"/>
  <c r="AH198" i="13" s="1"/>
  <c r="AM198" i="13" s="1"/>
  <c r="AD195" i="13"/>
  <c r="AF195" i="13" s="1"/>
  <c r="AK236" i="13"/>
  <c r="AN236" i="13"/>
  <c r="AK215" i="13"/>
  <c r="AN215" i="13"/>
  <c r="AD227" i="13"/>
  <c r="AF227" i="13" s="1"/>
  <c r="E124" i="13"/>
  <c r="F124" i="13" s="1"/>
  <c r="AK231" i="13"/>
  <c r="AN231" i="13"/>
  <c r="AK202" i="13"/>
  <c r="AN202" i="13"/>
  <c r="Q21" i="22"/>
  <c r="T21" i="22" s="1"/>
  <c r="AF199" i="13"/>
  <c r="AD242" i="13"/>
  <c r="AF242" i="13" s="1"/>
  <c r="R24" i="22"/>
  <c r="S24" i="22" s="1"/>
  <c r="AD234" i="13"/>
  <c r="AF234" i="13" s="1"/>
  <c r="AK216" i="13"/>
  <c r="AN216" i="13"/>
  <c r="AN186" i="13"/>
  <c r="AK186" i="13"/>
  <c r="H39" i="8"/>
  <c r="E46" i="8"/>
  <c r="W24" i="22"/>
  <c r="I24" i="22" s="1"/>
  <c r="AG201" i="13"/>
  <c r="AH201" i="13" s="1"/>
  <c r="AM201" i="13" s="1"/>
  <c r="H26" i="8"/>
  <c r="E35" i="8"/>
  <c r="AD204" i="13"/>
  <c r="AF204" i="13" s="1"/>
  <c r="AN217" i="13"/>
  <c r="AK217" i="13"/>
  <c r="AK239" i="13"/>
  <c r="AN239" i="13"/>
  <c r="N27" i="22"/>
  <c r="O27" i="22"/>
  <c r="P27" i="22" s="1"/>
  <c r="AA27" i="22"/>
  <c r="G27" i="22" s="1"/>
  <c r="AK218" i="13"/>
  <c r="AN218" i="13"/>
  <c r="AN203" i="13"/>
  <c r="AK203" i="13"/>
  <c r="AN213" i="13"/>
  <c r="AK213" i="13"/>
  <c r="AD58" i="6"/>
  <c r="AD207" i="13"/>
  <c r="AF207" i="13" s="1"/>
  <c r="AD197" i="13"/>
  <c r="AF197" i="13" s="1"/>
  <c r="GV182" i="13"/>
  <c r="GU182" i="13"/>
  <c r="E164" i="13"/>
  <c r="F164" i="13" s="1"/>
  <c r="T20" i="22"/>
  <c r="DP183" i="13"/>
  <c r="DS183" i="13" s="1"/>
  <c r="AK210" i="13"/>
  <c r="AN210" i="13"/>
  <c r="AN193" i="13"/>
  <c r="AK193" i="13"/>
  <c r="R20" i="22"/>
  <c r="S20" i="22" s="1"/>
  <c r="Q20" i="22"/>
  <c r="AN194" i="13"/>
  <c r="AK194" i="13"/>
  <c r="AG216" i="13"/>
  <c r="AH216" i="13" s="1"/>
  <c r="AM216" i="13" s="1"/>
  <c r="AK232" i="13"/>
  <c r="AN232" i="13"/>
  <c r="AD210" i="13"/>
  <c r="AF210" i="13" s="1"/>
  <c r="AD246" i="13"/>
  <c r="AF246" i="13" s="1"/>
  <c r="GM181" i="13"/>
  <c r="GR181" i="13" s="1"/>
  <c r="GL181" i="13"/>
  <c r="GQ181" i="13" s="1"/>
  <c r="GT181" i="13" s="1"/>
  <c r="AK244" i="13"/>
  <c r="AN244" i="13"/>
  <c r="AN233" i="13"/>
  <c r="AK233" i="13"/>
  <c r="T26" i="22"/>
  <c r="AD218" i="13"/>
  <c r="AF218" i="13" s="1"/>
  <c r="AD213" i="13"/>
  <c r="AF213" i="13" s="1"/>
  <c r="AF240" i="13"/>
  <c r="AD44" i="6"/>
  <c r="AF192" i="13"/>
  <c r="AD223" i="13"/>
  <c r="AF223" i="13" s="1"/>
  <c r="AK241" i="13"/>
  <c r="AN241" i="13"/>
  <c r="AK199" i="13"/>
  <c r="AN199" i="13"/>
  <c r="AG243" i="13"/>
  <c r="AH243" i="13" s="1"/>
  <c r="AN234" i="13"/>
  <c r="AK234" i="13"/>
  <c r="AN201" i="13"/>
  <c r="AK201" i="13"/>
  <c r="AK219" i="13"/>
  <c r="AN219" i="13"/>
  <c r="DQ183" i="13"/>
  <c r="AK246" i="13"/>
  <c r="AN246" i="13"/>
  <c r="AF244" i="13"/>
  <c r="AF233" i="13"/>
  <c r="DV182" i="13"/>
  <c r="EA182" i="13" s="1"/>
  <c r="ED182" i="13" s="1"/>
  <c r="DW182" i="13"/>
  <c r="EB182" i="13" s="1"/>
  <c r="CX182" i="13"/>
  <c r="CZ182" i="13" s="1"/>
  <c r="DC182" i="13" s="1"/>
  <c r="R185" i="13" s="1"/>
  <c r="CY182" i="13"/>
  <c r="AG203" i="13"/>
  <c r="AH203" i="13" s="1"/>
  <c r="AM203" i="13" s="1"/>
  <c r="AG229" i="13"/>
  <c r="AH229" i="13" s="1"/>
  <c r="AM229" i="13" s="1"/>
  <c r="AG230" i="13"/>
  <c r="AH230" i="13" s="1"/>
  <c r="AM230" i="13" s="1"/>
  <c r="AG187" i="13"/>
  <c r="AH187" i="13" s="1"/>
  <c r="AM187" i="13" s="1"/>
  <c r="D18" i="22"/>
  <c r="M18" i="22" s="1"/>
  <c r="A17" i="22"/>
  <c r="AG206" i="13"/>
  <c r="AH206" i="13" s="1"/>
  <c r="AM206" i="13" s="1"/>
  <c r="AK211" i="13"/>
  <c r="AN211" i="13"/>
  <c r="D28" i="6"/>
  <c r="M25" i="6"/>
  <c r="L25" i="6"/>
  <c r="AN212" i="13"/>
  <c r="AK212" i="13"/>
  <c r="HO183" i="13"/>
  <c r="HQ183" i="13" s="1"/>
  <c r="HR183" i="13"/>
  <c r="HS183" i="13" s="1"/>
  <c r="HU183" i="13" s="1"/>
  <c r="HY183" i="13" s="1"/>
  <c r="ID183" i="13" s="1"/>
  <c r="FM182" i="13"/>
  <c r="FL182" i="13"/>
  <c r="AG241" i="13"/>
  <c r="AH241" i="13" s="1"/>
  <c r="AM241" i="13" s="1"/>
  <c r="AG225" i="13"/>
  <c r="AH225" i="13" s="1"/>
  <c r="AM225" i="13" s="1"/>
  <c r="AN226" i="13"/>
  <c r="AK226" i="13"/>
  <c r="AK240" i="13"/>
  <c r="AN240" i="13"/>
  <c r="AF228" i="13"/>
  <c r="AD208" i="13"/>
  <c r="AF208" i="13" s="1"/>
  <c r="AN229" i="13"/>
  <c r="AK229" i="13"/>
  <c r="AN209" i="13"/>
  <c r="AK209" i="13"/>
  <c r="N8" i="6"/>
  <c r="N10" i="6" s="1"/>
  <c r="N12" i="6" s="1"/>
  <c r="N14" i="6" s="1"/>
  <c r="N16" i="6" s="1"/>
  <c r="N18" i="6" s="1"/>
  <c r="N20" i="6" s="1"/>
  <c r="N22" i="6" s="1"/>
  <c r="N24" i="6" s="1"/>
  <c r="N26" i="6" s="1"/>
  <c r="AD189" i="13"/>
  <c r="AF189" i="13" s="1"/>
  <c r="AD200" i="13"/>
  <c r="AF200" i="13" s="1"/>
  <c r="N19" i="22"/>
  <c r="O19" i="22" s="1"/>
  <c r="P19" i="22" s="1"/>
  <c r="AA19" i="22"/>
  <c r="G19" i="22" s="1"/>
  <c r="AD211" i="13"/>
  <c r="AF211" i="13" s="1"/>
  <c r="AD221" i="13"/>
  <c r="AF221" i="13" s="1"/>
  <c r="AD219" i="13"/>
  <c r="AF219" i="13" s="1"/>
  <c r="AD212" i="13"/>
  <c r="AF212" i="13" s="1"/>
  <c r="E156" i="13"/>
  <c r="F156" i="13" s="1"/>
  <c r="AK197" i="13"/>
  <c r="AN197" i="13"/>
  <c r="AD236" i="13"/>
  <c r="AF236" i="13" s="1"/>
  <c r="AD215" i="13"/>
  <c r="AF215" i="13" s="1"/>
  <c r="AD188" i="13"/>
  <c r="AF188" i="13" s="1"/>
  <c r="AD222" i="13"/>
  <c r="AF222" i="13" s="1"/>
  <c r="AK228" i="13"/>
  <c r="AN228" i="13"/>
  <c r="AK187" i="13"/>
  <c r="AN187" i="13"/>
  <c r="AK200" i="13"/>
  <c r="AN200" i="13"/>
  <c r="AK206" i="13"/>
  <c r="AN206" i="13"/>
  <c r="E150" i="13"/>
  <c r="F150" i="13" s="1"/>
  <c r="AK204" i="13"/>
  <c r="AN204" i="13"/>
  <c r="AG217" i="13"/>
  <c r="AH217" i="13" s="1"/>
  <c r="AM217" i="13" s="1"/>
  <c r="A29" i="22"/>
  <c r="D28" i="22"/>
  <c r="M28" i="22" s="1"/>
  <c r="AK192" i="13"/>
  <c r="AN192" i="13"/>
  <c r="AK198" i="13"/>
  <c r="AN198" i="13"/>
  <c r="AK190" i="13"/>
  <c r="AN190" i="13"/>
  <c r="AD214" i="13"/>
  <c r="AF214" i="13" s="1"/>
  <c r="AF226" i="13"/>
  <c r="AK196" i="13"/>
  <c r="AN196" i="13"/>
  <c r="AF182" i="13"/>
  <c r="AH182" i="13" s="1"/>
  <c r="R184" i="13" s="1"/>
  <c r="G16" i="13" s="1"/>
  <c r="AN188" i="13"/>
  <c r="AK188" i="13"/>
  <c r="AD235" i="13"/>
  <c r="AF235" i="13" s="1"/>
  <c r="AN222" i="13"/>
  <c r="AK222" i="13"/>
  <c r="AD231" i="13"/>
  <c r="AF231" i="13" s="1"/>
  <c r="AF202" i="13"/>
  <c r="AK191" i="13"/>
  <c r="AN191" i="13"/>
  <c r="AN207" i="13"/>
  <c r="AK207" i="13"/>
  <c r="BR183" i="13"/>
  <c r="CK183" i="13" s="1"/>
  <c r="BS183" i="13"/>
  <c r="BT183" i="13" s="1"/>
  <c r="CQ183" i="13" s="1"/>
  <c r="CV183" i="13" s="1"/>
  <c r="AN189" i="13"/>
  <c r="AK189" i="13"/>
  <c r="AK205" i="13"/>
  <c r="AN205" i="13"/>
  <c r="AD194" i="13"/>
  <c r="AF194" i="13" s="1"/>
  <c r="AK225" i="13"/>
  <c r="AN225" i="13"/>
  <c r="Z184" i="13"/>
  <c r="AC184" i="13" s="1"/>
  <c r="AB184" i="13"/>
  <c r="AE184" i="13"/>
  <c r="AJ184" i="13"/>
  <c r="AD186" i="13"/>
  <c r="AF186" i="13" s="1"/>
  <c r="FA181" i="13"/>
  <c r="FE181" i="13" s="1"/>
  <c r="FJ181" i="13" s="1"/>
  <c r="AK223" i="13" l="1"/>
  <c r="AN223" i="13"/>
  <c r="GI183" i="13"/>
  <c r="GJ183" i="13" s="1"/>
  <c r="GN183" i="13" s="1"/>
  <c r="GS183" i="13" s="1"/>
  <c r="GF183" i="13"/>
  <c r="GH183" i="13" s="1"/>
  <c r="EZ183" i="13"/>
  <c r="FA183" i="13" s="1"/>
  <c r="FE183" i="13" s="1"/>
  <c r="FJ183" i="13" s="1"/>
  <c r="EY183" i="13"/>
  <c r="AF191" i="13"/>
  <c r="AG191" i="13" s="1"/>
  <c r="AH191" i="13" s="1"/>
  <c r="AM191" i="13" s="1"/>
  <c r="CT181" i="13"/>
  <c r="CW181" i="13" s="1"/>
  <c r="CU181" i="13"/>
  <c r="AK242" i="13"/>
  <c r="E171" i="13" s="1"/>
  <c r="F171" i="13" s="1"/>
  <c r="AN242" i="13"/>
  <c r="AN230" i="13"/>
  <c r="AK230" i="13"/>
  <c r="W26" i="22"/>
  <c r="I26" i="22" s="1"/>
  <c r="AN237" i="13"/>
  <c r="AK237" i="13"/>
  <c r="E166" i="13" s="1"/>
  <c r="F166" i="13" s="1"/>
  <c r="AK243" i="13"/>
  <c r="E172" i="13" s="1"/>
  <c r="F172" i="13" s="1"/>
  <c r="AN243" i="13"/>
  <c r="AK208" i="13"/>
  <c r="AN208" i="13"/>
  <c r="CT183" i="13"/>
  <c r="CW183" i="13" s="1"/>
  <c r="HR182" i="13"/>
  <c r="HS182" i="13" s="1"/>
  <c r="HU182" i="13" s="1"/>
  <c r="HY182" i="13" s="1"/>
  <c r="ID182" i="13" s="1"/>
  <c r="HO182" i="13"/>
  <c r="HQ182" i="13" s="1"/>
  <c r="AZ181" i="13"/>
  <c r="AY181" i="13"/>
  <c r="BB181" i="13" s="1"/>
  <c r="DW181" i="13"/>
  <c r="EB181" i="13" s="1"/>
  <c r="AZ183" i="13"/>
  <c r="AY183" i="13"/>
  <c r="BA183" i="13" s="1"/>
  <c r="HX181" i="13"/>
  <c r="IC181" i="13" s="1"/>
  <c r="HW181" i="13"/>
  <c r="IB181" i="13" s="1"/>
  <c r="IE181" i="13" s="1"/>
  <c r="DT183" i="13"/>
  <c r="DX183" i="13" s="1"/>
  <c r="EC183" i="13" s="1"/>
  <c r="DV181" i="13"/>
  <c r="EA181" i="13" s="1"/>
  <c r="ED181" i="13" s="1"/>
  <c r="W40" i="24"/>
  <c r="X40" i="24" s="1"/>
  <c r="Y40" i="24" s="1"/>
  <c r="AA40" i="24" s="1"/>
  <c r="AA31" i="24" s="1"/>
  <c r="Z31" i="24"/>
  <c r="K40" i="24"/>
  <c r="L40" i="24" s="1"/>
  <c r="M40" i="24" s="1"/>
  <c r="O40" i="24" s="1"/>
  <c r="Q31" i="24" s="1"/>
  <c r="P31" i="24"/>
  <c r="BM31" i="24"/>
  <c r="BK40" i="24"/>
  <c r="BL40" i="24" s="1"/>
  <c r="BM40" i="24" s="1"/>
  <c r="BO40" i="24" s="1"/>
  <c r="BN31" i="24" s="1"/>
  <c r="AQ40" i="24"/>
  <c r="AR40" i="24" s="1"/>
  <c r="AS40" i="24" s="1"/>
  <c r="AU40" i="24" s="1"/>
  <c r="AT31" i="24" s="1"/>
  <c r="AS31" i="24"/>
  <c r="BU40" i="24"/>
  <c r="BV40" i="24" s="1"/>
  <c r="BW40" i="24" s="1"/>
  <c r="BY40" i="24" s="1"/>
  <c r="BX31" i="24" s="1"/>
  <c r="BW31" i="24"/>
  <c r="AJ52" i="24"/>
  <c r="AD49" i="24"/>
  <c r="AE49" i="24" s="1"/>
  <c r="BC31" i="24"/>
  <c r="BA40" i="24"/>
  <c r="BB40" i="24" s="1"/>
  <c r="BC40" i="24" s="1"/>
  <c r="BE40" i="24" s="1"/>
  <c r="BD31" i="24" s="1"/>
  <c r="Q19" i="22"/>
  <c r="R19" i="22"/>
  <c r="S19" i="22" s="1"/>
  <c r="AM243" i="13"/>
  <c r="E133" i="13"/>
  <c r="F133" i="13" s="1"/>
  <c r="GX182" i="13"/>
  <c r="GY182" i="13" s="1"/>
  <c r="U220" i="13" s="1"/>
  <c r="GW182" i="13"/>
  <c r="GZ182" i="13" s="1"/>
  <c r="R220" i="13" s="1"/>
  <c r="AG195" i="13"/>
  <c r="AH195" i="13" s="1"/>
  <c r="E136" i="13"/>
  <c r="F136" i="13" s="1"/>
  <c r="AG235" i="13"/>
  <c r="AH235" i="13" s="1"/>
  <c r="AG215" i="13"/>
  <c r="AH215" i="13" s="1"/>
  <c r="AM215" i="13" s="1"/>
  <c r="AG208" i="13"/>
  <c r="AH208" i="13" s="1"/>
  <c r="AM208" i="13" s="1"/>
  <c r="E155" i="13"/>
  <c r="F155" i="13" s="1"/>
  <c r="D17" i="22"/>
  <c r="M17" i="22" s="1"/>
  <c r="A16" i="22"/>
  <c r="EE182" i="13"/>
  <c r="EF182" i="13"/>
  <c r="AG192" i="13"/>
  <c r="AH192" i="13" s="1"/>
  <c r="E162" i="13"/>
  <c r="F162" i="13" s="1"/>
  <c r="C166" i="13"/>
  <c r="C132" i="13"/>
  <c r="E132" i="13"/>
  <c r="F132" i="13" s="1"/>
  <c r="C168" i="13"/>
  <c r="E168" i="13"/>
  <c r="F168" i="13" s="1"/>
  <c r="FC181" i="13"/>
  <c r="FH181" i="13" s="1"/>
  <c r="FK181" i="13" s="1"/>
  <c r="AG199" i="13"/>
  <c r="AH199" i="13" s="1"/>
  <c r="AM199" i="13" s="1"/>
  <c r="E127" i="13"/>
  <c r="F127" i="13" s="1"/>
  <c r="C127" i="13"/>
  <c r="AG211" i="13"/>
  <c r="AH211" i="13" s="1"/>
  <c r="E163" i="13"/>
  <c r="F163" i="13" s="1"/>
  <c r="AG186" i="13"/>
  <c r="AH186" i="13" s="1"/>
  <c r="AM186" i="13" s="1"/>
  <c r="AG194" i="13"/>
  <c r="AH194" i="13" s="1"/>
  <c r="AM194" i="13" s="1"/>
  <c r="E117" i="13"/>
  <c r="F117" i="13" s="1"/>
  <c r="E125" i="13"/>
  <c r="F125" i="13" s="1"/>
  <c r="C125" i="13"/>
  <c r="E121" i="13"/>
  <c r="F121" i="13" s="1"/>
  <c r="E157" i="13"/>
  <c r="F157" i="13" s="1"/>
  <c r="AG236" i="13"/>
  <c r="AH236" i="13" s="1"/>
  <c r="AG228" i="13"/>
  <c r="AH228" i="13" s="1"/>
  <c r="AM228" i="13" s="1"/>
  <c r="HW183" i="13"/>
  <c r="IB183" i="13" s="1"/>
  <c r="IE183" i="13" s="1"/>
  <c r="HX183" i="13"/>
  <c r="IC183" i="13" s="1"/>
  <c r="M27" i="6"/>
  <c r="N28" i="6" s="1"/>
  <c r="L27" i="6"/>
  <c r="D30" i="6"/>
  <c r="AA18" i="22"/>
  <c r="G18" i="22" s="1"/>
  <c r="N18" i="22"/>
  <c r="O18" i="22" s="1"/>
  <c r="P18" i="22" s="1"/>
  <c r="EH182" i="13"/>
  <c r="EI182" i="13" s="1"/>
  <c r="U224" i="13" s="1"/>
  <c r="EG182" i="13"/>
  <c r="EJ182" i="13" s="1"/>
  <c r="R224" i="13" s="1"/>
  <c r="C161" i="13"/>
  <c r="E161" i="13"/>
  <c r="F161" i="13" s="1"/>
  <c r="AG197" i="13"/>
  <c r="AH197" i="13" s="1"/>
  <c r="AM197" i="13" s="1"/>
  <c r="FD181" i="13"/>
  <c r="FI181" i="13" s="1"/>
  <c r="E131" i="13"/>
  <c r="F131" i="13" s="1"/>
  <c r="AG227" i="13"/>
  <c r="AH227" i="13" s="1"/>
  <c r="DR183" i="13"/>
  <c r="AG226" i="13"/>
  <c r="AH226" i="13" s="1"/>
  <c r="CU183" i="13"/>
  <c r="C134" i="13"/>
  <c r="E134" i="13"/>
  <c r="F134" i="13" s="1"/>
  <c r="C120" i="13"/>
  <c r="E120" i="13"/>
  <c r="F120" i="13" s="1"/>
  <c r="C14" i="13"/>
  <c r="D14" i="13" s="1"/>
  <c r="AG214" i="13"/>
  <c r="AH214" i="13" s="1"/>
  <c r="AM214" i="13" s="1"/>
  <c r="A30" i="22"/>
  <c r="D30" i="22" s="1"/>
  <c r="M30" i="22" s="1"/>
  <c r="D29" i="22"/>
  <c r="M29" i="22" s="1"/>
  <c r="AG209" i="13"/>
  <c r="AH209" i="13" s="1"/>
  <c r="AG188" i="13"/>
  <c r="AH188" i="13" s="1"/>
  <c r="AG200" i="13"/>
  <c r="AH200" i="13" s="1"/>
  <c r="E169" i="13"/>
  <c r="F169" i="13" s="1"/>
  <c r="AG244" i="13"/>
  <c r="AH244" i="13" s="1"/>
  <c r="AM244" i="13" s="1"/>
  <c r="AG213" i="13"/>
  <c r="AH213" i="13" s="1"/>
  <c r="C173" i="13"/>
  <c r="E173" i="13"/>
  <c r="F173" i="13" s="1"/>
  <c r="E122" i="13"/>
  <c r="F122" i="13" s="1"/>
  <c r="C122" i="13"/>
  <c r="W20" i="22"/>
  <c r="I20" i="22" s="1"/>
  <c r="E147" i="13"/>
  <c r="F147" i="13" s="1"/>
  <c r="E146" i="13"/>
  <c r="F146" i="13" s="1"/>
  <c r="C146" i="13"/>
  <c r="C145" i="13"/>
  <c r="E145" i="13"/>
  <c r="F145" i="13" s="1"/>
  <c r="E143" i="13"/>
  <c r="C143" i="13"/>
  <c r="F143" i="13"/>
  <c r="F154" i="13"/>
  <c r="C154" i="13"/>
  <c r="E154" i="13"/>
  <c r="AN184" i="13"/>
  <c r="AK184" i="13"/>
  <c r="E138" i="13"/>
  <c r="F138" i="13" s="1"/>
  <c r="AG207" i="13"/>
  <c r="AH207" i="13" s="1"/>
  <c r="AM207" i="13" s="1"/>
  <c r="AD184" i="13"/>
  <c r="AF184" i="13" s="1"/>
  <c r="E118" i="13"/>
  <c r="F118" i="13" s="1"/>
  <c r="AG202" i="13"/>
  <c r="AH202" i="13" s="1"/>
  <c r="E129" i="13"/>
  <c r="F129" i="13" s="1"/>
  <c r="DA182" i="13"/>
  <c r="DB182" i="13" s="1"/>
  <c r="U185" i="13" s="1"/>
  <c r="G24" i="13" s="1"/>
  <c r="F148" i="13"/>
  <c r="C148" i="13"/>
  <c r="E148" i="13"/>
  <c r="F128" i="13"/>
  <c r="C128" i="13"/>
  <c r="E128" i="13"/>
  <c r="E170" i="13"/>
  <c r="F170" i="13" s="1"/>
  <c r="C170" i="13"/>
  <c r="AG218" i="13"/>
  <c r="AH218" i="13" s="1"/>
  <c r="C123" i="13"/>
  <c r="E123" i="13"/>
  <c r="F123" i="13" s="1"/>
  <c r="AG234" i="13"/>
  <c r="AH234" i="13" s="1"/>
  <c r="AM234" i="13" s="1"/>
  <c r="R21" i="22"/>
  <c r="S21" i="22" s="1"/>
  <c r="C144" i="13"/>
  <c r="E144" i="13"/>
  <c r="F144" i="13" s="1"/>
  <c r="E175" i="13"/>
  <c r="F175" i="13" s="1"/>
  <c r="AG210" i="13"/>
  <c r="AH210" i="13" s="1"/>
  <c r="AM210" i="13" s="1"/>
  <c r="O28" i="22"/>
  <c r="P28" i="22" s="1"/>
  <c r="N28" i="22"/>
  <c r="AA28" i="22"/>
  <c r="G28" i="22" s="1"/>
  <c r="T19" i="22"/>
  <c r="W19" i="22" s="1"/>
  <c r="I19" i="22" s="1"/>
  <c r="AG233" i="13"/>
  <c r="AH233" i="13" s="1"/>
  <c r="AM233" i="13" s="1"/>
  <c r="AG240" i="13"/>
  <c r="AH240" i="13" s="1"/>
  <c r="E119" i="13"/>
  <c r="F119" i="13" s="1"/>
  <c r="C119" i="13"/>
  <c r="AG219" i="13"/>
  <c r="AH219" i="13" s="1"/>
  <c r="AM219" i="13" s="1"/>
  <c r="E141" i="13"/>
  <c r="F141" i="13" s="1"/>
  <c r="E140" i="13"/>
  <c r="F140" i="13" s="1"/>
  <c r="E130" i="13"/>
  <c r="C130" i="13"/>
  <c r="F130" i="13"/>
  <c r="AG223" i="13"/>
  <c r="AH223" i="13" s="1"/>
  <c r="GV181" i="13"/>
  <c r="GU181" i="13"/>
  <c r="GW181" i="13" s="1"/>
  <c r="GZ181" i="13" s="1"/>
  <c r="Q220" i="13" s="1"/>
  <c r="Y220" i="13" s="1"/>
  <c r="Q27" i="22"/>
  <c r="R27" i="22" s="1"/>
  <c r="S27" i="22" s="1"/>
  <c r="AG204" i="13"/>
  <c r="AH204" i="13" s="1"/>
  <c r="AM204" i="13" s="1"/>
  <c r="W21" i="22"/>
  <c r="I21" i="22" s="1"/>
  <c r="E160" i="13"/>
  <c r="F160" i="13" s="1"/>
  <c r="AG242" i="13"/>
  <c r="AH242" i="13" s="1"/>
  <c r="AG222" i="13"/>
  <c r="AH222" i="13" s="1"/>
  <c r="AG212" i="13"/>
  <c r="AH212" i="13" s="1"/>
  <c r="AM212" i="13" s="1"/>
  <c r="E115" i="13"/>
  <c r="C115" i="13"/>
  <c r="F115" i="13"/>
  <c r="AG231" i="13"/>
  <c r="AH231" i="13" s="1"/>
  <c r="E116" i="13"/>
  <c r="C116" i="13"/>
  <c r="F116" i="13"/>
  <c r="E151" i="13"/>
  <c r="F151" i="13" s="1"/>
  <c r="C135" i="13"/>
  <c r="E135" i="13"/>
  <c r="F135" i="13" s="1"/>
  <c r="C126" i="13"/>
  <c r="E126" i="13"/>
  <c r="F126" i="13" s="1"/>
  <c r="AG221" i="13"/>
  <c r="AH221" i="13" s="1"/>
  <c r="AG189" i="13"/>
  <c r="AH189" i="13" s="1"/>
  <c r="AM189" i="13" s="1"/>
  <c r="E158" i="13"/>
  <c r="F158" i="13" s="1"/>
  <c r="C158" i="13"/>
  <c r="FN182" i="13"/>
  <c r="FQ182" i="13" s="1"/>
  <c r="R245" i="13" s="1"/>
  <c r="FO182" i="13"/>
  <c r="FP182" i="13" s="1"/>
  <c r="U245" i="13" s="1"/>
  <c r="AG246" i="13"/>
  <c r="AH246" i="13" s="1"/>
  <c r="AM246" i="13" s="1"/>
  <c r="C139" i="13"/>
  <c r="F139" i="13"/>
  <c r="E139" i="13"/>
  <c r="E142" i="13"/>
  <c r="F142" i="13" s="1"/>
  <c r="T27" i="22"/>
  <c r="F26" i="8"/>
  <c r="G26" i="8" s="1"/>
  <c r="G39" i="8"/>
  <c r="F39" i="8"/>
  <c r="E165" i="13"/>
  <c r="F165" i="13" s="1"/>
  <c r="C172" i="13" l="1"/>
  <c r="C157" i="13"/>
  <c r="AM235" i="13"/>
  <c r="C164" i="13"/>
  <c r="C133" i="13"/>
  <c r="E152" i="13"/>
  <c r="F152" i="13" s="1"/>
  <c r="C141" i="13"/>
  <c r="GM183" i="13"/>
  <c r="GR183" i="13" s="1"/>
  <c r="GL183" i="13"/>
  <c r="GQ183" i="13" s="1"/>
  <c r="GT183" i="13" s="1"/>
  <c r="FC183" i="13"/>
  <c r="FH183" i="13" s="1"/>
  <c r="FK183" i="13" s="1"/>
  <c r="FD183" i="13"/>
  <c r="FI183" i="13" s="1"/>
  <c r="AM223" i="13"/>
  <c r="C152" i="13"/>
  <c r="BB183" i="13"/>
  <c r="BC183" i="13" s="1"/>
  <c r="C159" i="13"/>
  <c r="E159" i="13"/>
  <c r="F159" i="13" s="1"/>
  <c r="CX181" i="13"/>
  <c r="CY181" i="13"/>
  <c r="C22" i="13"/>
  <c r="D22" i="13" s="1"/>
  <c r="E22" i="13"/>
  <c r="E137" i="13"/>
  <c r="C137" i="13"/>
  <c r="F137" i="13"/>
  <c r="C136" i="13"/>
  <c r="AM209" i="13"/>
  <c r="C138" i="13"/>
  <c r="BC181" i="13"/>
  <c r="AM213" i="13"/>
  <c r="C142" i="13"/>
  <c r="GX181" i="13"/>
  <c r="GY181" i="13" s="1"/>
  <c r="T220" i="13" s="1"/>
  <c r="AA220" i="13" s="1"/>
  <c r="EF181" i="13"/>
  <c r="EE181" i="13"/>
  <c r="EH181" i="13" s="1"/>
  <c r="HX182" i="13"/>
  <c r="IC182" i="13" s="1"/>
  <c r="HW182" i="13"/>
  <c r="IB182" i="13" s="1"/>
  <c r="IE182" i="13" s="1"/>
  <c r="IF181" i="13"/>
  <c r="IH181" i="13" s="1"/>
  <c r="IK181" i="13" s="1"/>
  <c r="Q238" i="13" s="1"/>
  <c r="Y238" i="13" s="1"/>
  <c r="IG181" i="13"/>
  <c r="BA181" i="13"/>
  <c r="AC52" i="24"/>
  <c r="AE52" i="24" s="1"/>
  <c r="AG33" i="24"/>
  <c r="BN49" i="24"/>
  <c r="BI43" i="24"/>
  <c r="BG43" i="24" s="1"/>
  <c r="BH49" i="24"/>
  <c r="BJ49" i="24" s="1"/>
  <c r="BG46" i="24"/>
  <c r="BH46" i="24" s="1"/>
  <c r="BI46" i="24" s="1"/>
  <c r="BJ46" i="24" s="1"/>
  <c r="BQ46" i="24"/>
  <c r="BR49" i="24"/>
  <c r="BT49" i="24" s="1"/>
  <c r="G46" i="24"/>
  <c r="H49" i="24"/>
  <c r="J49" i="24" s="1"/>
  <c r="BS43" i="24"/>
  <c r="BQ43" i="24" s="1"/>
  <c r="BX49" i="24"/>
  <c r="J43" i="24"/>
  <c r="H43" i="24" s="1"/>
  <c r="N49" i="24"/>
  <c r="AY43" i="24"/>
  <c r="AW43" i="24" s="1"/>
  <c r="BD49" i="24"/>
  <c r="AM46" i="24"/>
  <c r="AN49" i="24"/>
  <c r="AP49" i="24" s="1"/>
  <c r="AX49" i="24"/>
  <c r="AZ49" i="24" s="1"/>
  <c r="AW46" i="24"/>
  <c r="AO43" i="24"/>
  <c r="AM43" i="24" s="1"/>
  <c r="AT49" i="24"/>
  <c r="S46" i="24"/>
  <c r="T49" i="24"/>
  <c r="V49" i="24" s="1"/>
  <c r="Z49" i="24"/>
  <c r="V43" i="24"/>
  <c r="T43" i="24" s="1"/>
  <c r="AM236" i="13"/>
  <c r="C165" i="13"/>
  <c r="Z220" i="13"/>
  <c r="AC220" i="13" s="1"/>
  <c r="AB220" i="13"/>
  <c r="AM188" i="13"/>
  <c r="C117" i="13"/>
  <c r="AM202" i="13"/>
  <c r="C131" i="13"/>
  <c r="AM211" i="13"/>
  <c r="C140" i="13"/>
  <c r="Q18" i="22"/>
  <c r="R18" i="22" s="1"/>
  <c r="S18" i="22" s="1"/>
  <c r="AM200" i="13"/>
  <c r="C129" i="13"/>
  <c r="AM221" i="13"/>
  <c r="C150" i="13"/>
  <c r="AM226" i="13"/>
  <c r="C155" i="13"/>
  <c r="AM231" i="13"/>
  <c r="C160" i="13"/>
  <c r="AM192" i="13"/>
  <c r="C121" i="13"/>
  <c r="AM222" i="13"/>
  <c r="C151" i="13"/>
  <c r="AM240" i="13"/>
  <c r="C169" i="13"/>
  <c r="AM218" i="13"/>
  <c r="C147" i="13"/>
  <c r="AI220" i="13"/>
  <c r="AJ220" i="13"/>
  <c r="AE220" i="13"/>
  <c r="FM181" i="13"/>
  <c r="FL181" i="13"/>
  <c r="FN181" i="13" s="1"/>
  <c r="FQ181" i="13" s="1"/>
  <c r="Q245" i="13" s="1"/>
  <c r="Y245" i="13" s="1"/>
  <c r="AM195" i="13"/>
  <c r="C124" i="13"/>
  <c r="E113" i="13"/>
  <c r="F113" i="13" s="1"/>
  <c r="AG184" i="13"/>
  <c r="AH184" i="13" s="1"/>
  <c r="AM184" i="13" s="1"/>
  <c r="CX183" i="13"/>
  <c r="CY183" i="13"/>
  <c r="DV183" i="13"/>
  <c r="EA183" i="13" s="1"/>
  <c r="ED183" i="13" s="1"/>
  <c r="DW183" i="13"/>
  <c r="EB183" i="13" s="1"/>
  <c r="IG183" i="13"/>
  <c r="IF183" i="13"/>
  <c r="II183" i="13" s="1"/>
  <c r="C175" i="13"/>
  <c r="AM227" i="13"/>
  <c r="C156" i="13"/>
  <c r="T18" i="22"/>
  <c r="AM242" i="13"/>
  <c r="C171" i="13"/>
  <c r="W27" i="22"/>
  <c r="I27" i="22" s="1"/>
  <c r="C118" i="13"/>
  <c r="AA29" i="22"/>
  <c r="G29" i="22" s="1"/>
  <c r="O29" i="22"/>
  <c r="P29" i="22" s="1"/>
  <c r="N29" i="22"/>
  <c r="N30" i="6"/>
  <c r="M29" i="6"/>
  <c r="D32" i="6"/>
  <c r="L29" i="6"/>
  <c r="D16" i="22"/>
  <c r="M16" i="22" s="1"/>
  <c r="A15" i="22"/>
  <c r="D15" i="22" s="1"/>
  <c r="M15" i="22" s="1"/>
  <c r="Q28" i="22"/>
  <c r="T28" i="22" s="1"/>
  <c r="N30" i="22"/>
  <c r="AA30" i="22"/>
  <c r="G30" i="22" s="1"/>
  <c r="O30" i="22"/>
  <c r="P30" i="22" s="1"/>
  <c r="C163" i="13"/>
  <c r="C162" i="13"/>
  <c r="N17" i="22"/>
  <c r="O17" i="22" s="1"/>
  <c r="P17" i="22" s="1"/>
  <c r="AA17" i="22"/>
  <c r="G17" i="22" s="1"/>
  <c r="GU183" i="13" l="1"/>
  <c r="GV183" i="13"/>
  <c r="IH183" i="13"/>
  <c r="IK183" i="13" s="1"/>
  <c r="S238" i="13" s="1"/>
  <c r="FM183" i="13"/>
  <c r="FL183" i="13"/>
  <c r="FO183" i="13" s="1"/>
  <c r="FP183" i="13" s="1"/>
  <c r="V245" i="13" s="1"/>
  <c r="W18" i="22"/>
  <c r="I18" i="22" s="1"/>
  <c r="R28" i="22"/>
  <c r="S28" i="22" s="1"/>
  <c r="W28" i="22" s="1"/>
  <c r="I28" i="22" s="1"/>
  <c r="AN46" i="24"/>
  <c r="AO46" i="24" s="1"/>
  <c r="AP46" i="24" s="1"/>
  <c r="DA181" i="13"/>
  <c r="DB181" i="13" s="1"/>
  <c r="T185" i="13" s="1"/>
  <c r="CZ181" i="13"/>
  <c r="DC181" i="13" s="1"/>
  <c r="Q185" i="13" s="1"/>
  <c r="AD220" i="13"/>
  <c r="AF220" i="13" s="1"/>
  <c r="EI181" i="13"/>
  <c r="T224" i="13" s="1"/>
  <c r="AA224" i="13" s="1"/>
  <c r="II181" i="13"/>
  <c r="IJ181" i="13" s="1"/>
  <c r="T238" i="13" s="1"/>
  <c r="AA238" i="13" s="1"/>
  <c r="AI224" i="13"/>
  <c r="Z238" i="13"/>
  <c r="AC238" i="13" s="1"/>
  <c r="AB238" i="13"/>
  <c r="IG182" i="13"/>
  <c r="IF182" i="13"/>
  <c r="II182" i="13" s="1"/>
  <c r="EG181" i="13"/>
  <c r="EJ181" i="13" s="1"/>
  <c r="Q224" i="13" s="1"/>
  <c r="Y224" i="13" s="1"/>
  <c r="BR46" i="24"/>
  <c r="BS46" i="24" s="1"/>
  <c r="BT46" i="24" s="1"/>
  <c r="BG49" i="24"/>
  <c r="BI49" i="24" s="1"/>
  <c r="BL32" i="24"/>
  <c r="AM49" i="24"/>
  <c r="AO49" i="24" s="1"/>
  <c r="AR32" i="24"/>
  <c r="H46" i="24"/>
  <c r="I46" i="24" s="1"/>
  <c r="J46" i="24" s="1"/>
  <c r="AG52" i="24"/>
  <c r="AH52" i="24" s="1"/>
  <c r="AI52" i="24" s="1"/>
  <c r="AK52" i="24" s="1"/>
  <c r="AI33" i="24" s="1"/>
  <c r="AH33" i="24"/>
  <c r="AD58" i="24" s="1"/>
  <c r="AF58" i="24" s="1"/>
  <c r="Q17" i="22"/>
  <c r="R17" i="22" s="1"/>
  <c r="S17" i="22" s="1"/>
  <c r="AB245" i="13"/>
  <c r="Z245" i="13"/>
  <c r="AC245" i="13" s="1"/>
  <c r="C113" i="13"/>
  <c r="Q29" i="22"/>
  <c r="R29" i="22" s="1"/>
  <c r="S29" i="22" s="1"/>
  <c r="M31" i="6"/>
  <c r="N32" i="6" s="1"/>
  <c r="D34" i="6"/>
  <c r="L31" i="6"/>
  <c r="DA183" i="13"/>
  <c r="DB183" i="13" s="1"/>
  <c r="V185" i="13" s="1"/>
  <c r="CZ183" i="13"/>
  <c r="DC183" i="13" s="1"/>
  <c r="S185" i="13" s="1"/>
  <c r="N15" i="22"/>
  <c r="AA15" i="22"/>
  <c r="G15" i="22" s="1"/>
  <c r="O15" i="22"/>
  <c r="P15" i="22" s="1"/>
  <c r="FO181" i="13"/>
  <c r="FP181" i="13" s="1"/>
  <c r="T245" i="13" s="1"/>
  <c r="AA245" i="13" s="1"/>
  <c r="AK220" i="13"/>
  <c r="AN220" i="13"/>
  <c r="N16" i="22"/>
  <c r="AA16" i="22"/>
  <c r="G16" i="22" s="1"/>
  <c r="Q30" i="22"/>
  <c r="R30" i="22" s="1"/>
  <c r="S30" i="22" s="1"/>
  <c r="T17" i="22"/>
  <c r="IJ183" i="13"/>
  <c r="V238" i="13" s="1"/>
  <c r="EE183" i="13"/>
  <c r="EH183" i="13" s="1"/>
  <c r="EF183" i="13"/>
  <c r="T29" i="22"/>
  <c r="FN183" i="13" l="1"/>
  <c r="FQ183" i="13" s="1"/>
  <c r="S245" i="13" s="1"/>
  <c r="IH182" i="13"/>
  <c r="IK182" i="13" s="1"/>
  <c r="R238" i="13" s="1"/>
  <c r="GW183" i="13"/>
  <c r="GZ183" i="13" s="1"/>
  <c r="S220" i="13" s="1"/>
  <c r="GX183" i="13"/>
  <c r="GY183" i="13" s="1"/>
  <c r="V220" i="13" s="1"/>
  <c r="IJ182" i="13"/>
  <c r="U238" i="13" s="1"/>
  <c r="W17" i="22"/>
  <c r="I17" i="22" s="1"/>
  <c r="AA185" i="13"/>
  <c r="G26" i="13"/>
  <c r="AX46" i="24"/>
  <c r="AY46" i="24" s="1"/>
  <c r="AZ46" i="24" s="1"/>
  <c r="Y185" i="13"/>
  <c r="G18" i="13"/>
  <c r="AD238" i="13"/>
  <c r="EI183" i="13"/>
  <c r="V224" i="13" s="1"/>
  <c r="AD245" i="13"/>
  <c r="AB224" i="13"/>
  <c r="Z224" i="13"/>
  <c r="AC224" i="13" s="1"/>
  <c r="AJ238" i="13"/>
  <c r="AI238" i="13"/>
  <c r="AE238" i="13"/>
  <c r="AJ224" i="13"/>
  <c r="AE224" i="13"/>
  <c r="G49" i="24"/>
  <c r="I49" i="24" s="1"/>
  <c r="O32" i="24"/>
  <c r="AS32" i="24"/>
  <c r="AQ49" i="24"/>
  <c r="AR49" i="24" s="1"/>
  <c r="AS49" i="24" s="1"/>
  <c r="AU49" i="24" s="1"/>
  <c r="AT32" i="24" s="1"/>
  <c r="T46" i="24"/>
  <c r="U46" i="24" s="1"/>
  <c r="V46" i="24" s="1"/>
  <c r="AJ58" i="24"/>
  <c r="AD55" i="24"/>
  <c r="AE55" i="24" s="1"/>
  <c r="BM32" i="24"/>
  <c r="BK49" i="24"/>
  <c r="BL49" i="24" s="1"/>
  <c r="BM49" i="24" s="1"/>
  <c r="BO49" i="24" s="1"/>
  <c r="BN32" i="24" s="1"/>
  <c r="BQ49" i="24"/>
  <c r="BS49" i="24" s="1"/>
  <c r="BV32" i="24"/>
  <c r="W29" i="22"/>
  <c r="I29" i="22" s="1"/>
  <c r="AG220" i="13"/>
  <c r="AH220" i="13" s="1"/>
  <c r="T30" i="22"/>
  <c r="W30" i="22" s="1"/>
  <c r="I30" i="22" s="1"/>
  <c r="Q15" i="22"/>
  <c r="T15" i="22" s="1"/>
  <c r="AI245" i="13"/>
  <c r="AE245" i="13"/>
  <c r="AF245" i="13" s="1"/>
  <c r="AJ245" i="13"/>
  <c r="M33" i="6"/>
  <c r="D36" i="6"/>
  <c r="N34" i="6"/>
  <c r="L33" i="6"/>
  <c r="EG183" i="13"/>
  <c r="EJ183" i="13" s="1"/>
  <c r="S224" i="13" s="1"/>
  <c r="O16" i="22"/>
  <c r="P16" i="22" s="1"/>
  <c r="E149" i="13"/>
  <c r="F149" i="13" s="1"/>
  <c r="G20" i="13" l="1"/>
  <c r="C16" i="13"/>
  <c r="D16" i="13" s="1"/>
  <c r="G17" i="13"/>
  <c r="C15" i="13" s="1"/>
  <c r="D15" i="13" s="1"/>
  <c r="AW49" i="24"/>
  <c r="AY49" i="24" s="1"/>
  <c r="BB32" i="24"/>
  <c r="AI185" i="13"/>
  <c r="AJ185" i="13"/>
  <c r="AE185" i="13"/>
  <c r="Z185" i="13"/>
  <c r="AC185" i="13" s="1"/>
  <c r="AB185" i="13"/>
  <c r="C24" i="13"/>
  <c r="D24" i="13" s="1"/>
  <c r="E24" i="13"/>
  <c r="G25" i="13"/>
  <c r="AF238" i="13"/>
  <c r="AG238" i="13" s="1"/>
  <c r="AH238" i="13" s="1"/>
  <c r="AM238" i="13" s="1"/>
  <c r="AD224" i="13"/>
  <c r="AF224" i="13" s="1"/>
  <c r="AG224" i="13" s="1"/>
  <c r="AH224" i="13" s="1"/>
  <c r="AM224" i="13" s="1"/>
  <c r="AM220" i="13"/>
  <c r="C149" i="13"/>
  <c r="AN224" i="13"/>
  <c r="AK224" i="13"/>
  <c r="AK238" i="13"/>
  <c r="AN238" i="13"/>
  <c r="BG55" i="24"/>
  <c r="BH58" i="24"/>
  <c r="BJ58" i="24" s="1"/>
  <c r="AC58" i="24"/>
  <c r="AE58" i="24" s="1"/>
  <c r="AG34" i="24"/>
  <c r="AG35" i="24" s="1"/>
  <c r="BW32" i="24"/>
  <c r="BU49" i="24"/>
  <c r="BV49" i="24" s="1"/>
  <c r="BW49" i="24" s="1"/>
  <c r="BY49" i="24" s="1"/>
  <c r="BX32" i="24" s="1"/>
  <c r="AO52" i="24"/>
  <c r="AT58" i="24"/>
  <c r="S49" i="24"/>
  <c r="U49" i="24" s="1"/>
  <c r="Y32" i="24"/>
  <c r="BN58" i="24"/>
  <c r="BI52" i="24"/>
  <c r="BG52" i="24" s="1"/>
  <c r="AN58" i="24"/>
  <c r="AP58" i="24" s="1"/>
  <c r="AM52" i="24"/>
  <c r="AM55" i="24"/>
  <c r="AN55" i="24" s="1"/>
  <c r="AO55" i="24" s="1"/>
  <c r="AP55" i="24" s="1"/>
  <c r="P32" i="24"/>
  <c r="K49" i="24"/>
  <c r="L49" i="24" s="1"/>
  <c r="M49" i="24" s="1"/>
  <c r="O49" i="24" s="1"/>
  <c r="Q32" i="24" s="1"/>
  <c r="AG245" i="13"/>
  <c r="AH245" i="13" s="1"/>
  <c r="AM245" i="13" s="1"/>
  <c r="Q16" i="22"/>
  <c r="T16" i="22" s="1"/>
  <c r="R15" i="22"/>
  <c r="S15" i="22" s="1"/>
  <c r="W15" i="22" s="1"/>
  <c r="I15" i="22" s="1"/>
  <c r="D38" i="6"/>
  <c r="L35" i="6"/>
  <c r="M35" i="6"/>
  <c r="N36" i="6" s="1"/>
  <c r="AN245" i="13"/>
  <c r="AK245" i="13"/>
  <c r="BH55" i="24" l="1"/>
  <c r="BI55" i="24" s="1"/>
  <c r="BJ55" i="24" s="1"/>
  <c r="AD185" i="13"/>
  <c r="AF185" i="13" s="1"/>
  <c r="AG185" i="13" s="1"/>
  <c r="AH185" i="13" s="1"/>
  <c r="AM185" i="13" s="1"/>
  <c r="BC32" i="24"/>
  <c r="BA49" i="24"/>
  <c r="BB49" i="24" s="1"/>
  <c r="BC49" i="24" s="1"/>
  <c r="BE49" i="24" s="1"/>
  <c r="BD32" i="24" s="1"/>
  <c r="E23" i="13"/>
  <c r="C23" i="13"/>
  <c r="D23" i="13" s="1"/>
  <c r="AN185" i="13"/>
  <c r="G11" i="13" s="1"/>
  <c r="C11" i="13" s="1"/>
  <c r="D11" i="13" s="1"/>
  <c r="AK185" i="13"/>
  <c r="E20" i="13"/>
  <c r="E29" i="13" s="1"/>
  <c r="H21" i="13"/>
  <c r="G30" i="13" s="1"/>
  <c r="C18" i="13"/>
  <c r="D18" i="13" s="1"/>
  <c r="E167" i="13"/>
  <c r="F167" i="13" s="1"/>
  <c r="C167" i="13"/>
  <c r="E153" i="13"/>
  <c r="C153" i="13"/>
  <c r="F153" i="13"/>
  <c r="BG58" i="24"/>
  <c r="BI58" i="24" s="1"/>
  <c r="BL33" i="24"/>
  <c r="BL34" i="24" s="1"/>
  <c r="G55" i="24"/>
  <c r="H58" i="24"/>
  <c r="J58" i="24" s="1"/>
  <c r="BR58" i="24"/>
  <c r="BT58" i="24" s="1"/>
  <c r="BQ55" i="24"/>
  <c r="AM58" i="24"/>
  <c r="AO58" i="24" s="1"/>
  <c r="AR33" i="24"/>
  <c r="AR34" i="24" s="1"/>
  <c r="Y27" i="24" s="1"/>
  <c r="W49" i="24"/>
  <c r="X49" i="24" s="1"/>
  <c r="Y49" i="24" s="1"/>
  <c r="AA49" i="24" s="1"/>
  <c r="AA32" i="24" s="1"/>
  <c r="Z32" i="24"/>
  <c r="AH34" i="24"/>
  <c r="AH35" i="24" s="1"/>
  <c r="AG58" i="24"/>
  <c r="AH58" i="24" s="1"/>
  <c r="AI58" i="24" s="1"/>
  <c r="AK58" i="24" s="1"/>
  <c r="AI34" i="24" s="1"/>
  <c r="N58" i="24"/>
  <c r="J52" i="24"/>
  <c r="H52" i="24" s="1"/>
  <c r="BX58" i="24"/>
  <c r="BS52" i="24"/>
  <c r="BQ52" i="24" s="1"/>
  <c r="M37" i="6"/>
  <c r="D40" i="6"/>
  <c r="L37" i="6"/>
  <c r="R16" i="22"/>
  <c r="S16" i="22" s="1"/>
  <c r="W16" i="22" s="1"/>
  <c r="I16" i="22" s="1"/>
  <c r="E174" i="13"/>
  <c r="F174" i="13" s="1"/>
  <c r="C174" i="13"/>
  <c r="D27" i="13" l="1"/>
  <c r="C27" i="13"/>
  <c r="AW55" i="24"/>
  <c r="AX55" i="24" s="1"/>
  <c r="AY55" i="24" s="1"/>
  <c r="AX58" i="24"/>
  <c r="AZ58" i="24" s="1"/>
  <c r="G28" i="13"/>
  <c r="I10" i="13"/>
  <c r="G22" i="13"/>
  <c r="E114" i="13"/>
  <c r="F114" i="13" s="1"/>
  <c r="C114" i="13"/>
  <c r="AY52" i="24"/>
  <c r="AW52" i="24" s="1"/>
  <c r="BD58" i="24"/>
  <c r="H55" i="24"/>
  <c r="I55" i="24" s="1"/>
  <c r="J55" i="24" s="1"/>
  <c r="O33" i="24" s="1"/>
  <c r="BR55" i="24"/>
  <c r="BS55" i="24" s="1"/>
  <c r="BT55" i="24" s="1"/>
  <c r="AI35" i="24"/>
  <c r="AD61" i="24"/>
  <c r="AE61" i="24" s="1"/>
  <c r="T58" i="24"/>
  <c r="V58" i="24" s="1"/>
  <c r="S55" i="24"/>
  <c r="AQ58" i="24"/>
  <c r="AR58" i="24" s="1"/>
  <c r="AS58" i="24" s="1"/>
  <c r="AU58" i="24" s="1"/>
  <c r="AT33" i="24" s="1"/>
  <c r="AS33" i="24"/>
  <c r="Y26" i="24"/>
  <c r="R6" i="24"/>
  <c r="S6" i="24"/>
  <c r="T6" i="24" s="1"/>
  <c r="V52" i="24"/>
  <c r="T52" i="24" s="1"/>
  <c r="Z58" i="24"/>
  <c r="BM33" i="24"/>
  <c r="BK58" i="24"/>
  <c r="BL58" i="24" s="1"/>
  <c r="BM58" i="24" s="1"/>
  <c r="BO58" i="24" s="1"/>
  <c r="BN33" i="24" s="1"/>
  <c r="D42" i="6"/>
  <c r="M39" i="6"/>
  <c r="L39" i="6"/>
  <c r="N38" i="6"/>
  <c r="N40" i="6" s="1"/>
  <c r="H28" i="13" l="1"/>
  <c r="G29" i="13" s="1"/>
  <c r="C20" i="13"/>
  <c r="D20" i="13" s="1"/>
  <c r="AZ55" i="24"/>
  <c r="G58" i="24"/>
  <c r="I58" i="24" s="1"/>
  <c r="K58" i="24" s="1"/>
  <c r="L58" i="24" s="1"/>
  <c r="M58" i="24" s="1"/>
  <c r="O58" i="24" s="1"/>
  <c r="Q33" i="24" s="1"/>
  <c r="T55" i="24"/>
  <c r="U55" i="24" s="1"/>
  <c r="V55" i="24" s="1"/>
  <c r="BI61" i="24"/>
  <c r="BG61" i="24" s="1"/>
  <c r="BN34" i="24"/>
  <c r="BM34" i="24"/>
  <c r="AS34" i="24"/>
  <c r="AO61" i="24"/>
  <c r="AM61" i="24" s="1"/>
  <c r="AT34" i="24"/>
  <c r="R5" i="24"/>
  <c r="BQ58" i="24"/>
  <c r="BS58" i="24" s="1"/>
  <c r="BV33" i="24"/>
  <c r="N42" i="6"/>
  <c r="D44" i="6"/>
  <c r="L41" i="6"/>
  <c r="M41" i="6"/>
  <c r="AW58" i="24" l="1"/>
  <c r="AY58" i="24" s="1"/>
  <c r="BB33" i="24"/>
  <c r="D26" i="13"/>
  <c r="C26" i="13"/>
  <c r="G31" i="13"/>
  <c r="P33" i="24"/>
  <c r="T5" i="24"/>
  <c r="BW33" i="24"/>
  <c r="BU58" i="24"/>
  <c r="BV58" i="24" s="1"/>
  <c r="BW58" i="24" s="1"/>
  <c r="BY58" i="24" s="1"/>
  <c r="BX33" i="24" s="1"/>
  <c r="S58" i="24"/>
  <c r="U58" i="24" s="1"/>
  <c r="Y33" i="24"/>
  <c r="H67" i="24"/>
  <c r="J67" i="24" s="1"/>
  <c r="G64" i="24"/>
  <c r="S5" i="24"/>
  <c r="N67" i="24"/>
  <c r="J61" i="24"/>
  <c r="H61" i="24" s="1"/>
  <c r="L43" i="6"/>
  <c r="M43" i="6"/>
  <c r="D46" i="6"/>
  <c r="N44" i="6"/>
  <c r="C28" i="13" l="1"/>
  <c r="D28" i="13"/>
  <c r="G32" i="13"/>
  <c r="D29" i="13" s="1"/>
  <c r="BA58" i="24"/>
  <c r="BB58" i="24" s="1"/>
  <c r="BC58" i="24" s="1"/>
  <c r="BE58" i="24" s="1"/>
  <c r="BD33" i="24" s="1"/>
  <c r="BC33" i="24"/>
  <c r="H64" i="24"/>
  <c r="I64" i="24" s="1"/>
  <c r="J64" i="24" s="1"/>
  <c r="G67" i="24" s="1"/>
  <c r="I67" i="24" s="1"/>
  <c r="BS61" i="24"/>
  <c r="BQ61" i="24" s="1"/>
  <c r="BX67" i="24"/>
  <c r="W58" i="24"/>
  <c r="X58" i="24" s="1"/>
  <c r="Y58" i="24" s="1"/>
  <c r="AA58" i="24" s="1"/>
  <c r="AA33" i="24" s="1"/>
  <c r="Z33" i="24"/>
  <c r="BR67" i="24"/>
  <c r="BT67" i="24" s="1"/>
  <c r="BQ64" i="24"/>
  <c r="BR64" i="24" s="1"/>
  <c r="BS64" i="24" s="1"/>
  <c r="BT64" i="24" s="1"/>
  <c r="D48" i="6"/>
  <c r="M45" i="6"/>
  <c r="N46" i="6" s="1"/>
  <c r="L45" i="6"/>
  <c r="BD67" i="24" l="1"/>
  <c r="AY61" i="24"/>
  <c r="AW61" i="24" s="1"/>
  <c r="G33" i="13"/>
  <c r="C31" i="13" s="1"/>
  <c r="C29" i="13"/>
  <c r="AX67" i="24"/>
  <c r="AZ67" i="24" s="1"/>
  <c r="AW64" i="24"/>
  <c r="AX64" i="24" s="1"/>
  <c r="AY64" i="24" s="1"/>
  <c r="AZ64" i="24" s="1"/>
  <c r="O34" i="24"/>
  <c r="O35" i="24" s="1"/>
  <c r="Z15" i="24" s="1"/>
  <c r="S64" i="24"/>
  <c r="T64" i="24" s="1"/>
  <c r="U64" i="24" s="1"/>
  <c r="T67" i="24"/>
  <c r="V67" i="24" s="1"/>
  <c r="V61" i="24"/>
  <c r="T61" i="24" s="1"/>
  <c r="Z67" i="24"/>
  <c r="BQ67" i="24"/>
  <c r="BS67" i="24" s="1"/>
  <c r="BV34" i="24"/>
  <c r="BV35" i="24" s="1"/>
  <c r="K67" i="24"/>
  <c r="L67" i="24" s="1"/>
  <c r="M67" i="24" s="1"/>
  <c r="O67" i="24" s="1"/>
  <c r="Q34" i="24" s="1"/>
  <c r="P34" i="24"/>
  <c r="D50" i="6"/>
  <c r="M47" i="6"/>
  <c r="L47" i="6"/>
  <c r="AW67" i="24" l="1"/>
  <c r="AY67" i="24" s="1"/>
  <c r="BB34" i="24"/>
  <c r="BB35" i="24" s="1"/>
  <c r="Z26" i="24" s="1"/>
  <c r="R8" i="24" s="1"/>
  <c r="S8" i="24" s="1"/>
  <c r="C36" i="13"/>
  <c r="C33" i="13"/>
  <c r="I15" i="24"/>
  <c r="J15" i="24" s="1"/>
  <c r="K15" i="24" s="1"/>
  <c r="J70" i="24"/>
  <c r="H70" i="24" s="1"/>
  <c r="Q35" i="24"/>
  <c r="AA16" i="24" s="1"/>
  <c r="Z27" i="24"/>
  <c r="Z18" i="24"/>
  <c r="BW34" i="24"/>
  <c r="BU67" i="24"/>
  <c r="BV67" i="24" s="1"/>
  <c r="BW67" i="24" s="1"/>
  <c r="BY67" i="24" s="1"/>
  <c r="BX34" i="24" s="1"/>
  <c r="T8" i="24"/>
  <c r="V64" i="24"/>
  <c r="P35" i="24"/>
  <c r="AA15" i="24" s="1"/>
  <c r="D52" i="6"/>
  <c r="L49" i="6"/>
  <c r="M49" i="6"/>
  <c r="N48" i="6"/>
  <c r="N50" i="6" s="1"/>
  <c r="I45" i="13" l="1"/>
  <c r="D38" i="13"/>
  <c r="G36" i="13"/>
  <c r="G38" i="13" s="1"/>
  <c r="C38" i="13"/>
  <c r="M45" i="13" s="1"/>
  <c r="BA67" i="24"/>
  <c r="BB67" i="24" s="1"/>
  <c r="BC67" i="24" s="1"/>
  <c r="BE67" i="24" s="1"/>
  <c r="BD34" i="24" s="1"/>
  <c r="BC34" i="24"/>
  <c r="BC35" i="24" s="1"/>
  <c r="N16" i="24"/>
  <c r="O16" i="24" s="1"/>
  <c r="P16" i="24"/>
  <c r="P15" i="24"/>
  <c r="N15" i="24"/>
  <c r="O15" i="24" s="1"/>
  <c r="BS70" i="24"/>
  <c r="BQ70" i="24" s="1"/>
  <c r="BX35" i="24"/>
  <c r="AA19" i="24" s="1"/>
  <c r="BW35" i="24"/>
  <c r="AA18" i="24" s="1"/>
  <c r="S67" i="24"/>
  <c r="U67" i="24" s="1"/>
  <c r="Y34" i="24"/>
  <c r="Y35" i="24" s="1"/>
  <c r="Z21" i="24" s="1"/>
  <c r="I21" i="24" s="1"/>
  <c r="J21" i="24" s="1"/>
  <c r="K21" i="24" s="1"/>
  <c r="R9" i="24"/>
  <c r="S9" i="24" s="1"/>
  <c r="I18" i="24"/>
  <c r="J18" i="24" s="1"/>
  <c r="D54" i="6"/>
  <c r="L51" i="6"/>
  <c r="M51" i="6"/>
  <c r="N52" i="6"/>
  <c r="AY70" i="24" l="1"/>
  <c r="AW70" i="24" s="1"/>
  <c r="BD35" i="24"/>
  <c r="G40" i="13"/>
  <c r="Q45" i="13" s="1"/>
  <c r="N45" i="13"/>
  <c r="K18" i="24"/>
  <c r="T9" i="24"/>
  <c r="N18" i="24"/>
  <c r="O18" i="24" s="1"/>
  <c r="P18" i="24"/>
  <c r="Z34" i="24"/>
  <c r="W67" i="24"/>
  <c r="X67" i="24" s="1"/>
  <c r="Y67" i="24" s="1"/>
  <c r="AA67" i="24" s="1"/>
  <c r="AA34" i="24" s="1"/>
  <c r="P19" i="24"/>
  <c r="N19" i="24"/>
  <c r="O19" i="24" s="1"/>
  <c r="L53" i="6"/>
  <c r="D56" i="6"/>
  <c r="M53" i="6"/>
  <c r="AA35" i="24" l="1"/>
  <c r="AA22" i="24" s="1"/>
  <c r="V70" i="24"/>
  <c r="T70" i="24" s="1"/>
  <c r="Z35" i="24"/>
  <c r="AA21" i="24" s="1"/>
  <c r="N54" i="6"/>
  <c r="D58" i="6"/>
  <c r="M55" i="6"/>
  <c r="L55" i="6"/>
  <c r="N56" i="6" l="1"/>
  <c r="P22" i="24"/>
  <c r="N22" i="24"/>
  <c r="O22" i="24" s="1"/>
  <c r="P21" i="24"/>
  <c r="N21" i="24"/>
  <c r="O21" i="24" s="1"/>
  <c r="L57" i="6"/>
  <c r="M57" i="6"/>
  <c r="O52" i="6" s="1"/>
  <c r="O58" i="6"/>
  <c r="N58" i="6"/>
  <c r="O46" i="6" l="1"/>
  <c r="O50" i="6"/>
  <c r="O18" i="6"/>
  <c r="O8" i="6"/>
  <c r="O14" i="6"/>
  <c r="O16" i="6"/>
  <c r="O20" i="6"/>
  <c r="O24" i="6"/>
  <c r="O12" i="6"/>
  <c r="O10" i="6"/>
  <c r="O26" i="6"/>
  <c r="O22" i="6"/>
  <c r="O6" i="6"/>
  <c r="O28" i="6"/>
  <c r="O30" i="6"/>
  <c r="O32" i="6"/>
  <c r="O34" i="6"/>
  <c r="O36" i="6"/>
  <c r="O40" i="6"/>
  <c r="O38" i="6"/>
  <c r="O56" i="6"/>
  <c r="O48" i="6"/>
  <c r="O44" i="6"/>
  <c r="O42" i="6"/>
  <c r="O54" i="6"/>
</calcChain>
</file>

<file path=xl/sharedStrings.xml><?xml version="1.0" encoding="utf-8"?>
<sst xmlns="http://schemas.openxmlformats.org/spreadsheetml/2006/main" count="1850" uniqueCount="429">
  <si>
    <t>L1</t>
  </si>
  <si>
    <t>Rv</t>
  </si>
  <si>
    <t>M</t>
  </si>
  <si>
    <t>lc1</t>
  </si>
  <si>
    <t>lc2</t>
  </si>
  <si>
    <t>dlc</t>
  </si>
  <si>
    <t>g1</t>
  </si>
  <si>
    <t>g2</t>
  </si>
  <si>
    <t>dg</t>
  </si>
  <si>
    <t>N</t>
  </si>
  <si>
    <t>S</t>
  </si>
  <si>
    <t>W</t>
  </si>
  <si>
    <t>To</t>
  </si>
  <si>
    <t>From</t>
  </si>
  <si>
    <t>/g</t>
  </si>
  <si>
    <t>GHA</t>
  </si>
  <si>
    <t>g</t>
  </si>
  <si>
    <t>LHA</t>
  </si>
  <si>
    <t>P</t>
  </si>
  <si>
    <t>decl.</t>
  </si>
  <si>
    <t>A</t>
  </si>
  <si>
    <t>B</t>
  </si>
  <si>
    <t>C</t>
  </si>
  <si>
    <t>/v</t>
  </si>
  <si>
    <t>Relative wind speed</t>
  </si>
  <si>
    <t>Relative wind direction</t>
  </si>
  <si>
    <t>(+ for SB - for PS)</t>
  </si>
  <si>
    <t>Own Speed</t>
  </si>
  <si>
    <t>Own Heading</t>
  </si>
  <si>
    <t>True wind speed</t>
  </si>
  <si>
    <t>True wind direction</t>
  </si>
  <si>
    <t>F</t>
  </si>
  <si>
    <t>Date</t>
  </si>
  <si>
    <t>Height</t>
  </si>
  <si>
    <t>l1</t>
  </si>
  <si>
    <t>l2</t>
  </si>
  <si>
    <t>dl</t>
  </si>
  <si>
    <t>dl miles</t>
  </si>
  <si>
    <t>dg miles</t>
  </si>
  <si>
    <t>Z Rv</t>
  </si>
  <si>
    <t>v</t>
  </si>
  <si>
    <t>UTC</t>
  </si>
  <si>
    <t>Course</t>
  </si>
  <si>
    <t>Speed</t>
  </si>
  <si>
    <t>d</t>
  </si>
  <si>
    <t>l</t>
  </si>
  <si>
    <t>Distance</t>
  </si>
  <si>
    <t>Body</t>
  </si>
  <si>
    <t>Latitude</t>
  </si>
  <si>
    <t>Longitude</t>
  </si>
  <si>
    <t>Name</t>
  </si>
  <si>
    <t>Done</t>
  </si>
  <si>
    <t>To Go</t>
  </si>
  <si>
    <t>Longitude requested</t>
  </si>
  <si>
    <t>Latitude requested</t>
  </si>
  <si>
    <t>Use  this  program  to  make  smooth  transitions</t>
  </si>
  <si>
    <t>Insert  latitude  of  edge  of  chart</t>
  </si>
  <si>
    <t>Insert  longitude  of  edge  of chart</t>
  </si>
  <si>
    <t>Sun</t>
  </si>
  <si>
    <t>Navigation.xls - "True  Wind  Calc." by Ward Puttemans</t>
  </si>
  <si>
    <t>Navigation.xls - "Plotting Courses" by Ward Puttemans</t>
  </si>
  <si>
    <t>You  can  find  the  latitude  or  longitude  of  the</t>
  </si>
  <si>
    <t>edges of  the  chart  in  the  lower  left  or upper right</t>
  </si>
  <si>
    <t>when  laying  out  the  courses  on  the  charts.</t>
  </si>
  <si>
    <t>corner  of  the  chart.</t>
  </si>
  <si>
    <t>Waypoint Sheet</t>
  </si>
  <si>
    <t>True Wind Calculator</t>
  </si>
  <si>
    <t>Om</t>
  </si>
  <si>
    <t>L</t>
  </si>
  <si>
    <t>t</t>
  </si>
  <si>
    <t>e</t>
  </si>
  <si>
    <t>dp</t>
  </si>
  <si>
    <t>de</t>
  </si>
  <si>
    <t>corr</t>
  </si>
  <si>
    <t>G</t>
  </si>
  <si>
    <t>ec</t>
  </si>
  <si>
    <t>E</t>
  </si>
  <si>
    <t>GHAsun</t>
  </si>
  <si>
    <t>GHAAries</t>
  </si>
  <si>
    <t>Y</t>
  </si>
  <si>
    <t>X</t>
  </si>
  <si>
    <t>a</t>
  </si>
  <si>
    <t>declsun</t>
  </si>
  <si>
    <t>SUN</t>
  </si>
  <si>
    <t>Dec</t>
  </si>
  <si>
    <t>LST</t>
  </si>
  <si>
    <t>Nm</t>
  </si>
  <si>
    <t>im</t>
  </si>
  <si>
    <t>wm</t>
  </si>
  <si>
    <t>am</t>
  </si>
  <si>
    <t>Mm</t>
  </si>
  <si>
    <t>Ms</t>
  </si>
  <si>
    <t>ws</t>
  </si>
  <si>
    <t>Es</t>
  </si>
  <si>
    <t>xv</t>
  </si>
  <si>
    <t>yv</t>
  </si>
  <si>
    <t>vs</t>
  </si>
  <si>
    <t>rs</t>
  </si>
  <si>
    <t>xs</t>
  </si>
  <si>
    <t>ys</t>
  </si>
  <si>
    <t>xe</t>
  </si>
  <si>
    <t>ye</t>
  </si>
  <si>
    <t>ze</t>
  </si>
  <si>
    <t>x</t>
  </si>
  <si>
    <t>Em</t>
  </si>
  <si>
    <t>vm</t>
  </si>
  <si>
    <t>rm</t>
  </si>
  <si>
    <t>xh</t>
  </si>
  <si>
    <t>yh</t>
  </si>
  <si>
    <t>zh</t>
  </si>
  <si>
    <t>latm</t>
  </si>
  <si>
    <t>Ls</t>
  </si>
  <si>
    <t>Lm</t>
  </si>
  <si>
    <t>dlo1</t>
  </si>
  <si>
    <t>dlo2</t>
  </si>
  <si>
    <t>dlo3</t>
  </si>
  <si>
    <t>dlo4</t>
  </si>
  <si>
    <t>dlo5</t>
  </si>
  <si>
    <t>dlo6</t>
  </si>
  <si>
    <t>dlo7</t>
  </si>
  <si>
    <t>dlo8</t>
  </si>
  <si>
    <t>dlo9</t>
  </si>
  <si>
    <t>dlo10</t>
  </si>
  <si>
    <t>dlo11</t>
  </si>
  <si>
    <t>dlo12</t>
  </si>
  <si>
    <t>lonm</t>
  </si>
  <si>
    <t>dla1</t>
  </si>
  <si>
    <t>dla2</t>
  </si>
  <si>
    <t>dla3</t>
  </si>
  <si>
    <t>dla4</t>
  </si>
  <si>
    <t>dla5</t>
  </si>
  <si>
    <t>rm1</t>
  </si>
  <si>
    <t>xg</t>
  </si>
  <si>
    <t>yg</t>
  </si>
  <si>
    <t>zg</t>
  </si>
  <si>
    <t>ecl</t>
  </si>
  <si>
    <t>Ns</t>
  </si>
  <si>
    <t>is</t>
  </si>
  <si>
    <t>as</t>
  </si>
  <si>
    <t>es</t>
  </si>
  <si>
    <t>lons</t>
  </si>
  <si>
    <t>Ras</t>
  </si>
  <si>
    <t>Decs</t>
  </si>
  <si>
    <t>em</t>
  </si>
  <si>
    <t>xvm</t>
  </si>
  <si>
    <t>yvm</t>
  </si>
  <si>
    <t>loneclm</t>
  </si>
  <si>
    <t>latecl</t>
  </si>
  <si>
    <t>D</t>
  </si>
  <si>
    <t>Ram</t>
  </si>
  <si>
    <t>Declm</t>
  </si>
  <si>
    <t>SHA</t>
  </si>
  <si>
    <t>Acamar</t>
  </si>
  <si>
    <t>Achernar</t>
  </si>
  <si>
    <t>Acrux</t>
  </si>
  <si>
    <t>Adhara</t>
  </si>
  <si>
    <t>Aldebaran</t>
  </si>
  <si>
    <t>Alioth</t>
  </si>
  <si>
    <t>Alkaid</t>
  </si>
  <si>
    <t>Alnilam</t>
  </si>
  <si>
    <t>Alphard</t>
  </si>
  <si>
    <t>Alphecca</t>
  </si>
  <si>
    <t>Alpheratz</t>
  </si>
  <si>
    <t>Altair</t>
  </si>
  <si>
    <t>Ankaa</t>
  </si>
  <si>
    <t>Antares</t>
  </si>
  <si>
    <t>Arcturus</t>
  </si>
  <si>
    <t>Atria</t>
  </si>
  <si>
    <t>Avior</t>
  </si>
  <si>
    <t>Bellatrix</t>
  </si>
  <si>
    <t>Betelgeuse</t>
  </si>
  <si>
    <t>Canopus</t>
  </si>
  <si>
    <t>Capella</t>
  </si>
  <si>
    <t>Deneb</t>
  </si>
  <si>
    <t>Denebola</t>
  </si>
  <si>
    <t>Diphda</t>
  </si>
  <si>
    <t>Dubhe</t>
  </si>
  <si>
    <t>Elnath</t>
  </si>
  <si>
    <t>Eltanin</t>
  </si>
  <si>
    <t>Enif</t>
  </si>
  <si>
    <t>Formalhaut</t>
  </si>
  <si>
    <t>Gacrux</t>
  </si>
  <si>
    <t>Gienah</t>
  </si>
  <si>
    <t>Hadar</t>
  </si>
  <si>
    <t>Hamal</t>
  </si>
  <si>
    <t>Kaus Austr.</t>
  </si>
  <si>
    <t>Kochab</t>
  </si>
  <si>
    <t>Markab</t>
  </si>
  <si>
    <t>Menkar</t>
  </si>
  <si>
    <t>Menkent</t>
  </si>
  <si>
    <t>Miaplacidus</t>
  </si>
  <si>
    <t>Mirfak</t>
  </si>
  <si>
    <t>Nunki</t>
  </si>
  <si>
    <t>Peacock</t>
  </si>
  <si>
    <t>Pollux</t>
  </si>
  <si>
    <t>Procyon</t>
  </si>
  <si>
    <t>Rasalhague</t>
  </si>
  <si>
    <t>Regulus</t>
  </si>
  <si>
    <t>Rigel</t>
  </si>
  <si>
    <t>Rigil Kent</t>
  </si>
  <si>
    <t>Sabik</t>
  </si>
  <si>
    <t>Schedar</t>
  </si>
  <si>
    <t>Shaula</t>
  </si>
  <si>
    <t>Sirius</t>
  </si>
  <si>
    <t>Spica</t>
  </si>
  <si>
    <t>Vega</t>
  </si>
  <si>
    <t>Zuben'ubi</t>
  </si>
  <si>
    <t>Al Na'ir</t>
  </si>
  <si>
    <t>RA2000</t>
  </si>
  <si>
    <t>DEC2000</t>
  </si>
  <si>
    <t>Decpr</t>
  </si>
  <si>
    <t>nutdl</t>
  </si>
  <si>
    <t>nutde</t>
  </si>
  <si>
    <t>SHApr</t>
  </si>
  <si>
    <t>decl</t>
  </si>
  <si>
    <t>Suhail</t>
  </si>
  <si>
    <t>Nmars</t>
  </si>
  <si>
    <t>imars</t>
  </si>
  <si>
    <t>wmars</t>
  </si>
  <si>
    <t>amars</t>
  </si>
  <si>
    <t>emars</t>
  </si>
  <si>
    <t>Mmars</t>
  </si>
  <si>
    <t>Emars</t>
  </si>
  <si>
    <t>xvmars</t>
  </si>
  <si>
    <t>yvmars</t>
  </si>
  <si>
    <t>vmars</t>
  </si>
  <si>
    <t>rmars</t>
  </si>
  <si>
    <t>xhmars</t>
  </si>
  <si>
    <t>yhmars</t>
  </si>
  <si>
    <t>zhmars</t>
  </si>
  <si>
    <t>loneclmars</t>
  </si>
  <si>
    <t>lateclmars</t>
  </si>
  <si>
    <t>Ramars</t>
  </si>
  <si>
    <t>Decmars</t>
  </si>
  <si>
    <t>Mars</t>
  </si>
  <si>
    <t>i</t>
  </si>
  <si>
    <t>w</t>
  </si>
  <si>
    <t>r</t>
  </si>
  <si>
    <t>lonecl</t>
  </si>
  <si>
    <t>loncorr</t>
  </si>
  <si>
    <t>Venus</t>
  </si>
  <si>
    <t>RA</t>
  </si>
  <si>
    <t>Jupiter</t>
  </si>
  <si>
    <t>lo1</t>
  </si>
  <si>
    <t>locorr</t>
  </si>
  <si>
    <t>la1</t>
  </si>
  <si>
    <t>lacorr</t>
  </si>
  <si>
    <t>Moon</t>
  </si>
  <si>
    <t>Saturnus</t>
  </si>
  <si>
    <t>Your bearing</t>
  </si>
  <si>
    <t>Azimuth</t>
  </si>
  <si>
    <t>Incr.</t>
  </si>
  <si>
    <t>Z</t>
  </si>
  <si>
    <t>Aries</t>
  </si>
  <si>
    <t>Position</t>
  </si>
  <si>
    <t>Current Time (UTC)</t>
  </si>
  <si>
    <t>delta</t>
  </si>
  <si>
    <t>IT1</t>
  </si>
  <si>
    <t>IT2</t>
  </si>
  <si>
    <t>IT3</t>
  </si>
  <si>
    <t>Final</t>
  </si>
  <si>
    <t>IT4</t>
  </si>
  <si>
    <t>( Altitude</t>
  </si>
  <si>
    <t>)</t>
  </si>
  <si>
    <t>h</t>
  </si>
  <si>
    <t>Current</t>
  </si>
  <si>
    <t>TL1</t>
  </si>
  <si>
    <t>TL2</t>
  </si>
  <si>
    <t>SUN1</t>
  </si>
  <si>
    <t>SUN2</t>
  </si>
  <si>
    <t>Nautical Twilight</t>
  </si>
  <si>
    <t>Till</t>
  </si>
  <si>
    <t>Current Time (WT)</t>
  </si>
  <si>
    <t>Time Zone</t>
  </si>
  <si>
    <t>Time (WT)</t>
  </si>
  <si>
    <t xml:space="preserve"> </t>
  </si>
  <si>
    <t>E x N</t>
  </si>
  <si>
    <t>NNE</t>
  </si>
  <si>
    <t>N x E</t>
  </si>
  <si>
    <t>NE x N</t>
  </si>
  <si>
    <t>NE</t>
  </si>
  <si>
    <t>ENE</t>
  </si>
  <si>
    <t>E x S</t>
  </si>
  <si>
    <t>SE x E</t>
  </si>
  <si>
    <t>ESE</t>
  </si>
  <si>
    <t>SE</t>
  </si>
  <si>
    <t>SSE</t>
  </si>
  <si>
    <t>SSW</t>
  </si>
  <si>
    <t>SW</t>
  </si>
  <si>
    <t>WSW</t>
  </si>
  <si>
    <t>WNW</t>
  </si>
  <si>
    <t>NW</t>
  </si>
  <si>
    <t>NNW</t>
  </si>
  <si>
    <t>SE x S</t>
  </si>
  <si>
    <t>S x E</t>
  </si>
  <si>
    <t>S x W</t>
  </si>
  <si>
    <t>SW x S</t>
  </si>
  <si>
    <t>SW x W</t>
  </si>
  <si>
    <t>W x S</t>
  </si>
  <si>
    <t>W x N</t>
  </si>
  <si>
    <t>NW x W</t>
  </si>
  <si>
    <t>NW x N</t>
  </si>
  <si>
    <t>N x W</t>
  </si>
  <si>
    <t>Accuracy: 0,2˚ in bearing &amp; 1'.5 in height</t>
  </si>
  <si>
    <t>Bocas Del Dragon Out</t>
  </si>
  <si>
    <t>GC1</t>
  </si>
  <si>
    <t>GC2</t>
  </si>
  <si>
    <t>GC3</t>
  </si>
  <si>
    <t>GC4</t>
  </si>
  <si>
    <t>GC5</t>
  </si>
  <si>
    <t>GC6</t>
  </si>
  <si>
    <t>GC7</t>
  </si>
  <si>
    <t>GC8</t>
  </si>
  <si>
    <t>GC9</t>
  </si>
  <si>
    <t>GC10</t>
  </si>
  <si>
    <t>GC11</t>
  </si>
  <si>
    <t>GC12</t>
  </si>
  <si>
    <t>Off Casquets TSS</t>
  </si>
  <si>
    <t>Basurelle</t>
  </si>
  <si>
    <t>Ridens SE</t>
  </si>
  <si>
    <t>Cap Gris Nez</t>
  </si>
  <si>
    <t>Sandettie</t>
  </si>
  <si>
    <t>Bergues N</t>
  </si>
  <si>
    <t>Wandelaar Pilot</t>
  </si>
  <si>
    <t>Diamond Rock</t>
  </si>
  <si>
    <t>Oilfield</t>
  </si>
  <si>
    <t>Anchorage Out</t>
  </si>
  <si>
    <t>Point Lisas Pilot</t>
  </si>
  <si>
    <t>Oost-Dyck</t>
  </si>
  <si>
    <t>ETA CALCULATION</t>
  </si>
  <si>
    <t>FROM PORT</t>
  </si>
  <si>
    <t>TO PORT</t>
  </si>
  <si>
    <t xml:space="preserve">TOTAL DISTANCE TO GO </t>
  </si>
  <si>
    <t>N.MILES</t>
  </si>
  <si>
    <t>TOTAL ADVANCE(+) OR RETARD(-)</t>
  </si>
  <si>
    <t>HRS</t>
  </si>
  <si>
    <t>COMMENCEMENT OF SEA PASSAGE</t>
  </si>
  <si>
    <t>EXPECTED AVERAGE SPEED</t>
  </si>
  <si>
    <t>KTS</t>
  </si>
  <si>
    <t>CALCULATION OF ETA AT INTERVAL</t>
  </si>
  <si>
    <t>VARIOUS SPEED</t>
  </si>
  <si>
    <t>ETA AT LOCAL TIME</t>
  </si>
  <si>
    <t>ACTUAL STEAMING TIME</t>
  </si>
  <si>
    <t>DAY(S)</t>
  </si>
  <si>
    <t>HOUR(S)</t>
  </si>
  <si>
    <t>MIN(S)</t>
  </si>
  <si>
    <t>HOURS</t>
  </si>
  <si>
    <t>SPLITTED HOURS</t>
  </si>
  <si>
    <t>TO CALCULATE ACTUAL AVERAGE SPEED &amp; TOTAL STEAMING TIME:</t>
  </si>
  <si>
    <t>C.O.S.P. / R.F.A</t>
  </si>
  <si>
    <t>E.O.S.P. / S.B.E</t>
  </si>
  <si>
    <t>TOTAL DISTANCE STEAMED</t>
  </si>
  <si>
    <t>TOTAL STEAMING TIME IN DAYS</t>
  </si>
  <si>
    <t>TOTAL STEAMING TIME IN HOURS</t>
  </si>
  <si>
    <t>ACTUAL AVERAGE SPEED</t>
  </si>
  <si>
    <t>TO CALCULATE TIME OF DEPARTURE TO ARRIVE AT SPECIFIED TIME:</t>
  </si>
  <si>
    <t>TIME TO ARRIVE AT DISTINATION</t>
  </si>
  <si>
    <t>TOTAL DISTANCE UPTO DISTINATION</t>
  </si>
  <si>
    <t>TIME AND DATE OF DEPARTURE</t>
  </si>
  <si>
    <t>TO CALCULATE SLIP AND ENGINE SPEED AGAINST PROPELLER CONSTANT:</t>
  </si>
  <si>
    <t>ENGINE DISTANCE</t>
  </si>
  <si>
    <t>OBSERVED DISTANCE</t>
  </si>
  <si>
    <t>TOTAL SLIP OBSERVED</t>
  </si>
  <si>
    <t>PROPELLER CONSTANT</t>
  </si>
  <si>
    <t>REVOLUTION PER MINUTE</t>
  </si>
  <si>
    <t>RPM</t>
  </si>
  <si>
    <t>THEORITICAL ENGINE SPEED</t>
  </si>
  <si>
    <t>RESULTS</t>
  </si>
  <si>
    <t>TRUE BEARING</t>
  </si>
  <si>
    <t>GYRO BEARING</t>
  </si>
  <si>
    <t>GYRO ERROR</t>
  </si>
  <si>
    <t>ERROR</t>
  </si>
  <si>
    <t>VAR</t>
  </si>
  <si>
    <t>DEV</t>
  </si>
  <si>
    <t>T. BRG</t>
  </si>
  <si>
    <t>C. BRG</t>
  </si>
  <si>
    <t>G Head</t>
  </si>
  <si>
    <t>C Head</t>
  </si>
  <si>
    <t>NE x E</t>
  </si>
  <si>
    <t>λ</t>
  </si>
  <si>
    <t>φ</t>
  </si>
  <si>
    <t>Suape</t>
  </si>
  <si>
    <t>Cristobal</t>
  </si>
  <si>
    <t>"-" means West and "+" means East</t>
  </si>
  <si>
    <t>www.grosse-seefahrt.de</t>
  </si>
  <si>
    <t>This version of NavCalculations is for free distribution and without copyright.</t>
  </si>
  <si>
    <t>If you like to develope a more sophisticated version, then you may unlock the sheets with password 123.</t>
  </si>
  <si>
    <t>lat</t>
  </si>
  <si>
    <t>lon</t>
  </si>
  <si>
    <t>Dusk &amp; Dawn</t>
  </si>
  <si>
    <t>WP</t>
  </si>
  <si>
    <t>Star Finder &amp; Compass Correction Tool</t>
  </si>
  <si>
    <t>φ1</t>
  </si>
  <si>
    <t>φ2</t>
  </si>
  <si>
    <t>φ2λ2</t>
  </si>
  <si>
    <t>λ1</t>
  </si>
  <si>
    <t>λ2</t>
  </si>
  <si>
    <t>λx</t>
  </si>
  <si>
    <t>φx</t>
  </si>
  <si>
    <t>φ1λ1</t>
  </si>
  <si>
    <t>Plotting Courses on Paper Charts</t>
  </si>
  <si>
    <t>Info</t>
  </si>
  <si>
    <t>&gt; more free downloads, news and community for seafarers</t>
  </si>
  <si>
    <t>&gt; you may submit your own developed software for distribution</t>
  </si>
  <si>
    <t>Variation</t>
  </si>
  <si>
    <t>UTC
GMT</t>
  </si>
  <si>
    <t>Ship's Position</t>
  </si>
  <si>
    <t>Ship's Head</t>
  </si>
  <si>
    <t>Bearing</t>
  </si>
  <si>
    <t>Object</t>
  </si>
  <si>
    <t>Error</t>
  </si>
  <si>
    <t>Deviation</t>
  </si>
  <si>
    <t>Heel</t>
  </si>
  <si>
    <t>Remarks</t>
  </si>
  <si>
    <t>Observer</t>
  </si>
  <si>
    <t>Lat.</t>
  </si>
  <si>
    <t>Long.</t>
  </si>
  <si>
    <t>Gyro</t>
  </si>
  <si>
    <t>Standard</t>
  </si>
  <si>
    <t>Steering</t>
  </si>
  <si>
    <t xml:space="preserve">True </t>
  </si>
  <si>
    <t>VARIATION</t>
  </si>
  <si>
    <t>GYRO HEAD</t>
  </si>
  <si>
    <t>MAGN HEAD</t>
  </si>
  <si>
    <t>-</t>
  </si>
  <si>
    <t>+/-</t>
  </si>
  <si>
    <t>repeater</t>
  </si>
  <si>
    <t>OOW</t>
  </si>
  <si>
    <t>Compass Observation Book: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</si>
</sst>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0.0"/>
    <numFmt numFmtId="165" formatCode="000"/>
    <numFmt numFmtId="166" formatCode="00"/>
    <numFmt numFmtId="167" formatCode="00.0"/>
    <numFmt numFmtId="168" formatCode="000.0"/>
    <numFmt numFmtId="169" formatCode="00.00"/>
    <numFmt numFmtId="170" formatCode="hh:mm\ \/\ dd/mm/yyyy"/>
    <numFmt numFmtId="171" formatCode="0.000"/>
    <numFmt numFmtId="172" formatCode="#,##0.000"/>
    <numFmt numFmtId="173" formatCode="0.000000"/>
    <numFmt numFmtId="174" formatCode="hh:mm\ \/\ dd\-mmm\-yyyy"/>
    <numFmt numFmtId="175" formatCode="&quot;: &quot;00"/>
    <numFmt numFmtId="176" formatCode="#&quot;°&quot;"/>
    <numFmt numFmtId="177" formatCode="000&quot;°&quot;"/>
    <numFmt numFmtId="178" formatCode="00.0&quot;'&quot;"/>
  </numFmts>
  <fonts count="42">
    <font>
      <sz val="10"/>
      <name val="Times New Roman"/>
    </font>
    <font>
      <sz val="16"/>
      <name val="Times New Roman"/>
      <family val="1"/>
    </font>
    <font>
      <sz val="10"/>
      <name val="Bookman Old Style"/>
      <family val="1"/>
    </font>
    <font>
      <sz val="10"/>
      <name val="Arial Unicode MS"/>
      <family val="2"/>
    </font>
    <font>
      <b/>
      <sz val="10"/>
      <name val="Arial"/>
      <family val="2"/>
    </font>
    <font>
      <sz val="10"/>
      <name val="Century Gothic"/>
      <family val="2"/>
    </font>
    <font>
      <sz val="16"/>
      <name val="Century Gothic"/>
      <family val="2"/>
    </font>
    <font>
      <sz val="9"/>
      <color indexed="22"/>
      <name val="Century Gothic"/>
      <family val="2"/>
    </font>
    <font>
      <sz val="12"/>
      <name val="Century Gothic"/>
      <family val="2"/>
    </font>
    <font>
      <sz val="10"/>
      <name val="Tahoma"/>
      <family val="2"/>
    </font>
    <font>
      <sz val="10"/>
      <color indexed="10"/>
      <name val="Tahoma"/>
      <family val="2"/>
    </font>
    <font>
      <u/>
      <sz val="10"/>
      <name val="Tahoma"/>
      <family val="2"/>
    </font>
    <font>
      <i/>
      <sz val="10"/>
      <name val="Tahoma"/>
      <family val="2"/>
    </font>
    <font>
      <sz val="10"/>
      <color indexed="22"/>
      <name val="Tahoma"/>
      <family val="2"/>
    </font>
    <font>
      <sz val="12"/>
      <name val="Times New Roman"/>
      <family val="1"/>
    </font>
    <font>
      <b/>
      <i/>
      <sz val="12"/>
      <color indexed="10"/>
      <name val="Times New Roman"/>
      <family val="1"/>
    </font>
    <font>
      <b/>
      <sz val="18"/>
      <color theme="3"/>
      <name val="Times New Roman"/>
      <family val="2"/>
      <charset val="204"/>
      <scheme val="major"/>
    </font>
    <font>
      <sz val="12"/>
      <name val="Arial"/>
      <family val="2"/>
      <scheme val="minor"/>
    </font>
    <font>
      <b/>
      <sz val="12"/>
      <name val="Arial"/>
      <family val="2"/>
      <scheme val="minor"/>
    </font>
    <font>
      <b/>
      <i/>
      <sz val="12"/>
      <color indexed="10"/>
      <name val="Arial"/>
      <family val="2"/>
      <scheme val="minor"/>
    </font>
    <font>
      <b/>
      <i/>
      <u/>
      <sz val="12"/>
      <name val="Arial"/>
      <family val="2"/>
      <scheme val="minor"/>
    </font>
    <font>
      <sz val="12"/>
      <color indexed="10"/>
      <name val="Arial"/>
      <family val="2"/>
      <scheme val="minor"/>
    </font>
    <font>
      <sz val="16"/>
      <name val="Arial"/>
      <family val="2"/>
      <scheme val="minor"/>
    </font>
    <font>
      <sz val="10"/>
      <name val="Arial"/>
      <family val="2"/>
      <scheme val="minor"/>
    </font>
    <font>
      <i/>
      <sz val="10"/>
      <name val="Arial"/>
      <family val="2"/>
      <scheme val="minor"/>
    </font>
    <font>
      <sz val="11"/>
      <name val="Arial"/>
      <family val="2"/>
      <scheme val="minor"/>
    </font>
    <font>
      <sz val="14"/>
      <name val="Arial"/>
      <family val="2"/>
      <scheme val="minor"/>
    </font>
    <font>
      <i/>
      <sz val="14"/>
      <name val="Arial"/>
      <family val="2"/>
      <scheme val="minor"/>
    </font>
    <font>
      <sz val="10"/>
      <color indexed="10"/>
      <name val="Arial"/>
      <family val="2"/>
      <scheme val="minor"/>
    </font>
    <font>
      <u/>
      <sz val="10"/>
      <name val="Arial"/>
      <family val="2"/>
      <scheme val="minor"/>
    </font>
    <font>
      <sz val="10"/>
      <color indexed="9"/>
      <name val="Arial"/>
      <family val="2"/>
      <scheme val="minor"/>
    </font>
    <font>
      <b/>
      <sz val="10"/>
      <color indexed="10"/>
      <name val="Arial"/>
      <family val="2"/>
      <scheme val="minor"/>
    </font>
    <font>
      <i/>
      <u/>
      <sz val="10"/>
      <color indexed="10"/>
      <name val="Arial"/>
      <family val="2"/>
      <scheme val="minor"/>
    </font>
    <font>
      <i/>
      <u/>
      <sz val="10"/>
      <color indexed="57"/>
      <name val="Arial"/>
      <family val="2"/>
      <scheme val="minor"/>
    </font>
    <font>
      <b/>
      <sz val="10"/>
      <name val="Arial"/>
      <family val="2"/>
      <scheme val="minor"/>
    </font>
    <font>
      <b/>
      <sz val="11"/>
      <name val="Arial"/>
      <family val="2"/>
      <scheme val="minor"/>
    </font>
    <font>
      <b/>
      <u/>
      <sz val="10"/>
      <name val="Arial"/>
      <family val="2"/>
      <scheme val="minor"/>
    </font>
    <font>
      <sz val="12"/>
      <color indexed="57"/>
      <name val="Arial"/>
      <family val="2"/>
      <scheme val="minor"/>
    </font>
    <font>
      <sz val="12"/>
      <color indexed="22"/>
      <name val="Arial"/>
      <family val="2"/>
      <scheme val="minor"/>
    </font>
    <font>
      <sz val="11"/>
      <color indexed="48"/>
      <name val="Arial"/>
      <family val="2"/>
      <scheme val="minor"/>
    </font>
    <font>
      <sz val="11"/>
      <color indexed="22"/>
      <name val="Arial"/>
      <family val="2"/>
      <scheme val="minor"/>
    </font>
    <font>
      <sz val="8"/>
      <name val="Arial Narrow"/>
      <family val="2"/>
    </font>
  </fonts>
  <fills count="1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9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601">
    <xf numFmtId="0" fontId="0" fillId="0" borderId="0" xfId="0"/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1" fillId="0" borderId="0" xfId="0" applyFont="1" applyProtection="1">
      <protection hidden="1"/>
    </xf>
    <xf numFmtId="0" fontId="1" fillId="0" borderId="0" xfId="0" applyFont="1"/>
    <xf numFmtId="0" fontId="0" fillId="0" borderId="0" xfId="0" applyProtection="1"/>
    <xf numFmtId="166" fontId="2" fillId="0" borderId="0" xfId="0" applyNumberFormat="1" applyFont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167" fontId="0" fillId="0" borderId="0" xfId="0" applyNumberFormat="1" applyProtection="1"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0" fillId="0" borderId="0" xfId="0" applyFill="1" applyBorder="1" applyProtection="1">
      <protection hidden="1"/>
    </xf>
    <xf numFmtId="0" fontId="5" fillId="0" borderId="0" xfId="0" applyFont="1"/>
    <xf numFmtId="0" fontId="5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Border="1" applyProtection="1">
      <protection hidden="1"/>
    </xf>
    <xf numFmtId="0" fontId="0" fillId="0" borderId="0" xfId="0" applyFill="1" applyProtection="1">
      <protection hidden="1"/>
    </xf>
    <xf numFmtId="0" fontId="4" fillId="0" borderId="0" xfId="0" applyFont="1" applyBorder="1" applyProtection="1">
      <protection hidden="1"/>
    </xf>
    <xf numFmtId="0" fontId="3" fillId="0" borderId="0" xfId="0" applyNumberFormat="1" applyFont="1" applyProtection="1">
      <protection hidden="1"/>
    </xf>
    <xf numFmtId="49" fontId="0" fillId="0" borderId="0" xfId="0" applyNumberFormat="1" applyProtection="1">
      <protection hidden="1"/>
    </xf>
    <xf numFmtId="0" fontId="3" fillId="0" borderId="0" xfId="0" applyFont="1" applyProtection="1">
      <protection hidden="1"/>
    </xf>
    <xf numFmtId="0" fontId="0" fillId="0" borderId="0" xfId="0" applyNumberFormat="1" applyProtection="1">
      <protection hidden="1"/>
    </xf>
    <xf numFmtId="0" fontId="3" fillId="0" borderId="0" xfId="0" applyFont="1" applyFill="1" applyProtection="1">
      <protection hidden="1"/>
    </xf>
    <xf numFmtId="0" fontId="0" fillId="0" borderId="0" xfId="0" quotePrefix="1" applyFill="1" applyProtection="1">
      <protection hidden="1"/>
    </xf>
    <xf numFmtId="0" fontId="0" fillId="2" borderId="0" xfId="0" applyFill="1" applyProtection="1">
      <protection hidden="1"/>
    </xf>
    <xf numFmtId="167" fontId="0" fillId="0" borderId="0" xfId="0" applyNumberFormat="1" applyFill="1" applyProtection="1">
      <protection hidden="1"/>
    </xf>
    <xf numFmtId="0" fontId="0" fillId="0" borderId="0" xfId="0" applyNumberFormat="1" applyFill="1" applyProtection="1">
      <protection hidden="1"/>
    </xf>
    <xf numFmtId="0" fontId="7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5" fillId="0" borderId="0" xfId="0" applyFont="1" applyProtection="1"/>
    <xf numFmtId="0" fontId="5" fillId="0" borderId="7" xfId="0" applyFont="1" applyBorder="1" applyAlignment="1" applyProtection="1">
      <alignment vertical="center"/>
      <protection hidden="1"/>
    </xf>
    <xf numFmtId="0" fontId="5" fillId="0" borderId="8" xfId="0" applyFont="1" applyBorder="1" applyAlignment="1" applyProtection="1">
      <alignment vertical="center"/>
    </xf>
    <xf numFmtId="0" fontId="5" fillId="0" borderId="0" xfId="0" applyFont="1" applyBorder="1" applyProtection="1">
      <protection hidden="1"/>
    </xf>
    <xf numFmtId="0" fontId="5" fillId="0" borderId="8" xfId="0" applyFont="1" applyBorder="1" applyProtection="1"/>
    <xf numFmtId="0" fontId="5" fillId="0" borderId="18" xfId="0" applyFont="1" applyBorder="1" applyProtection="1">
      <protection hidden="1"/>
    </xf>
    <xf numFmtId="0" fontId="8" fillId="0" borderId="0" xfId="0" applyFont="1" applyFill="1" applyAlignment="1">
      <alignment horizontal="center" vertical="center"/>
    </xf>
    <xf numFmtId="0" fontId="9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9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0" fontId="9" fillId="0" borderId="0" xfId="0" applyFont="1" applyAlignment="1" applyProtection="1">
      <protection hidden="1"/>
    </xf>
    <xf numFmtId="0" fontId="12" fillId="0" borderId="0" xfId="0" applyFont="1" applyProtection="1">
      <protection hidden="1"/>
    </xf>
    <xf numFmtId="168" fontId="9" fillId="0" borderId="0" xfId="0" applyNumberFormat="1" applyFont="1" applyFill="1" applyBorder="1" applyAlignment="1" applyProtection="1">
      <alignment horizontal="center"/>
      <protection hidden="1"/>
    </xf>
    <xf numFmtId="0" fontId="9" fillId="0" borderId="0" xfId="0" applyFont="1" applyFill="1" applyBorder="1" applyAlignment="1" applyProtection="1">
      <alignment horizontal="center"/>
      <protection hidden="1"/>
    </xf>
    <xf numFmtId="0" fontId="9" fillId="0" borderId="50" xfId="0" applyFont="1" applyBorder="1" applyAlignment="1" applyProtection="1">
      <alignment horizontal="center"/>
      <protection hidden="1"/>
    </xf>
    <xf numFmtId="0" fontId="13" fillId="0" borderId="0" xfId="0" applyFont="1" applyProtection="1">
      <protection hidden="1"/>
    </xf>
    <xf numFmtId="0" fontId="9" fillId="0" borderId="2" xfId="0" applyFont="1" applyBorder="1" applyAlignment="1" applyProtection="1">
      <alignment horizontal="center"/>
      <protection hidden="1"/>
    </xf>
    <xf numFmtId="168" fontId="9" fillId="0" borderId="38" xfId="0" applyNumberFormat="1" applyFont="1" applyFill="1" applyBorder="1" applyAlignment="1" applyProtection="1">
      <alignment horizontal="center"/>
      <protection hidden="1"/>
    </xf>
    <xf numFmtId="0" fontId="9" fillId="0" borderId="2" xfId="0" applyFont="1" applyFill="1" applyBorder="1" applyAlignment="1" applyProtection="1">
      <alignment horizontal="center"/>
      <protection hidden="1"/>
    </xf>
    <xf numFmtId="0" fontId="9" fillId="0" borderId="30" xfId="0" applyFont="1" applyBorder="1" applyProtection="1">
      <protection hidden="1"/>
    </xf>
    <xf numFmtId="0" fontId="9" fillId="0" borderId="2" xfId="0" applyFont="1" applyBorder="1" applyProtection="1">
      <protection hidden="1"/>
    </xf>
    <xf numFmtId="0" fontId="9" fillId="0" borderId="33" xfId="0" applyFont="1" applyBorder="1" applyAlignment="1" applyProtection="1">
      <alignment horizontal="center"/>
      <protection hidden="1"/>
    </xf>
    <xf numFmtId="166" fontId="9" fillId="0" borderId="0" xfId="0" applyNumberFormat="1" applyFont="1" applyBorder="1" applyAlignment="1" applyProtection="1">
      <alignment horizontal="center"/>
      <protection hidden="1"/>
    </xf>
    <xf numFmtId="167" fontId="9" fillId="0" borderId="50" xfId="0" applyNumberFormat="1" applyFont="1" applyBorder="1" applyProtection="1">
      <protection hidden="1"/>
    </xf>
    <xf numFmtId="0" fontId="9" fillId="0" borderId="51" xfId="0" applyFont="1" applyBorder="1" applyAlignment="1" applyProtection="1">
      <alignment horizontal="center"/>
      <protection hidden="1"/>
    </xf>
    <xf numFmtId="167" fontId="9" fillId="0" borderId="51" xfId="0" applyNumberFormat="1" applyFont="1" applyBorder="1" applyAlignment="1" applyProtection="1">
      <alignment horizontal="center"/>
      <protection hidden="1"/>
    </xf>
    <xf numFmtId="167" fontId="9" fillId="0" borderId="34" xfId="0" applyNumberFormat="1" applyFont="1" applyBorder="1" applyAlignment="1" applyProtection="1">
      <alignment horizontal="center"/>
      <protection hidden="1"/>
    </xf>
    <xf numFmtId="166" fontId="9" fillId="0" borderId="30" xfId="0" applyNumberFormat="1" applyFont="1" applyBorder="1" applyAlignment="1" applyProtection="1">
      <alignment horizontal="center"/>
      <protection hidden="1"/>
    </xf>
    <xf numFmtId="167" fontId="9" fillId="0" borderId="2" xfId="0" applyNumberFormat="1" applyFont="1" applyBorder="1" applyProtection="1">
      <protection hidden="1"/>
    </xf>
    <xf numFmtId="22" fontId="9" fillId="0" borderId="0" xfId="0" applyNumberFormat="1" applyFont="1" applyProtection="1">
      <protection hidden="1"/>
    </xf>
    <xf numFmtId="0" fontId="14" fillId="0" borderId="0" xfId="0" applyFont="1"/>
    <xf numFmtId="0" fontId="14" fillId="0" borderId="0" xfId="0" applyFont="1" applyAlignment="1">
      <alignment vertical="center"/>
    </xf>
    <xf numFmtId="0" fontId="14" fillId="0" borderId="39" xfId="0" applyFont="1" applyBorder="1"/>
    <xf numFmtId="166" fontId="14" fillId="0" borderId="39" xfId="0" applyNumberFormat="1" applyFont="1" applyBorder="1" applyAlignment="1">
      <alignment horizontal="center"/>
    </xf>
    <xf numFmtId="0" fontId="15" fillId="0" borderId="0" xfId="0" applyFont="1"/>
    <xf numFmtId="0" fontId="15" fillId="0" borderId="39" xfId="0" applyFont="1" applyBorder="1"/>
    <xf numFmtId="166" fontId="15" fillId="0" borderId="39" xfId="0" applyNumberFormat="1" applyFont="1" applyBorder="1" applyAlignment="1">
      <alignment horizontal="center"/>
    </xf>
    <xf numFmtId="0" fontId="15" fillId="0" borderId="0" xfId="0" applyFont="1" applyAlignment="1">
      <alignment horizontal="right"/>
    </xf>
    <xf numFmtId="0" fontId="14" fillId="0" borderId="0" xfId="0" applyFont="1" applyFill="1" applyBorder="1"/>
    <xf numFmtId="2" fontId="14" fillId="0" borderId="0" xfId="0" applyNumberFormat="1" applyFont="1" applyAlignment="1">
      <alignment horizontal="center"/>
    </xf>
    <xf numFmtId="0" fontId="17" fillId="0" borderId="0" xfId="0" applyFont="1" applyBorder="1" applyAlignment="1"/>
    <xf numFmtId="0" fontId="17" fillId="0" borderId="54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right"/>
    </xf>
    <xf numFmtId="0" fontId="17" fillId="0" borderId="0" xfId="0" applyFont="1" applyFill="1" applyBorder="1" applyAlignment="1"/>
    <xf numFmtId="0" fontId="17" fillId="0" borderId="0" xfId="0" applyFont="1" applyFill="1" applyBorder="1" applyAlignment="1">
      <alignment horizontal="center"/>
    </xf>
    <xf numFmtId="164" fontId="17" fillId="0" borderId="0" xfId="0" applyNumberFormat="1" applyFont="1" applyFill="1" applyBorder="1" applyAlignment="1">
      <alignment horizontal="right"/>
    </xf>
    <xf numFmtId="164" fontId="17" fillId="0" borderId="0" xfId="0" applyNumberFormat="1" applyFont="1" applyFill="1" applyBorder="1" applyAlignment="1">
      <alignment horizontal="center"/>
    </xf>
    <xf numFmtId="2" fontId="17" fillId="0" borderId="0" xfId="0" applyNumberFormat="1" applyFont="1" applyFill="1" applyBorder="1" applyAlignment="1">
      <alignment horizontal="left"/>
    </xf>
    <xf numFmtId="0" fontId="17" fillId="0" borderId="12" xfId="0" applyFont="1" applyBorder="1" applyAlignment="1"/>
    <xf numFmtId="0" fontId="17" fillId="0" borderId="30" xfId="0" applyFont="1" applyBorder="1" applyAlignment="1"/>
    <xf numFmtId="0" fontId="17" fillId="0" borderId="0" xfId="0" applyFont="1" applyAlignment="1"/>
    <xf numFmtId="0" fontId="17" fillId="0" borderId="13" xfId="0" applyFont="1" applyBorder="1"/>
    <xf numFmtId="0" fontId="19" fillId="0" borderId="13" xfId="0" applyFont="1" applyBorder="1"/>
    <xf numFmtId="0" fontId="17" fillId="0" borderId="0" xfId="0" applyFont="1"/>
    <xf numFmtId="0" fontId="17" fillId="10" borderId="0" xfId="0" applyFont="1" applyFill="1"/>
    <xf numFmtId="0" fontId="17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26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9" fillId="0" borderId="0" xfId="0" applyFont="1" applyAlignment="1" applyProtection="1">
      <alignment horizontal="center"/>
      <protection hidden="1"/>
    </xf>
    <xf numFmtId="0" fontId="29" fillId="0" borderId="0" xfId="0" applyFont="1" applyProtection="1">
      <protection hidden="1"/>
    </xf>
    <xf numFmtId="0" fontId="23" fillId="0" borderId="0" xfId="0" applyFont="1" applyAlignment="1" applyProtection="1">
      <alignment horizontal="center"/>
      <protection hidden="1"/>
    </xf>
    <xf numFmtId="0" fontId="23" fillId="3" borderId="13" xfId="0" applyFont="1" applyFill="1" applyBorder="1" applyAlignment="1" applyProtection="1">
      <alignment horizontal="center"/>
      <protection locked="0"/>
    </xf>
    <xf numFmtId="0" fontId="23" fillId="0" borderId="0" xfId="0" applyNumberFormat="1" applyFont="1" applyProtection="1">
      <protection hidden="1"/>
    </xf>
    <xf numFmtId="166" fontId="23" fillId="3" borderId="30" xfId="0" applyNumberFormat="1" applyFont="1" applyFill="1" applyBorder="1" applyProtection="1">
      <protection locked="0"/>
    </xf>
    <xf numFmtId="167" fontId="23" fillId="3" borderId="30" xfId="0" applyNumberFormat="1" applyFont="1" applyFill="1" applyBorder="1" applyProtection="1">
      <protection locked="0"/>
    </xf>
    <xf numFmtId="0" fontId="23" fillId="3" borderId="2" xfId="0" applyFont="1" applyFill="1" applyBorder="1" applyAlignment="1" applyProtection="1">
      <alignment horizontal="center"/>
      <protection locked="0"/>
    </xf>
    <xf numFmtId="166" fontId="23" fillId="3" borderId="12" xfId="0" applyNumberFormat="1" applyFont="1" applyFill="1" applyBorder="1" applyAlignment="1" applyProtection="1">
      <alignment horizontal="center"/>
      <protection locked="0"/>
    </xf>
    <xf numFmtId="166" fontId="23" fillId="3" borderId="13" xfId="0" applyNumberFormat="1" applyFont="1" applyFill="1" applyBorder="1" applyAlignment="1" applyProtection="1">
      <alignment horizontal="center"/>
      <protection locked="0"/>
    </xf>
    <xf numFmtId="0" fontId="30" fillId="0" borderId="0" xfId="0" applyFont="1" applyProtection="1">
      <protection hidden="1"/>
    </xf>
    <xf numFmtId="0" fontId="31" fillId="7" borderId="0" xfId="0" applyFont="1" applyFill="1"/>
    <xf numFmtId="0" fontId="23" fillId="7" borderId="0" xfId="0" applyFont="1" applyFill="1"/>
    <xf numFmtId="0" fontId="32" fillId="0" borderId="0" xfId="0" applyFont="1" applyProtection="1">
      <protection hidden="1"/>
    </xf>
    <xf numFmtId="0" fontId="33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Border="1" applyAlignment="1" applyProtection="1">
      <alignment horizontal="center"/>
      <protection hidden="1"/>
    </xf>
    <xf numFmtId="0" fontId="25" fillId="3" borderId="2" xfId="0" applyFont="1" applyFill="1" applyBorder="1" applyAlignment="1" applyProtection="1">
      <alignment horizontal="center"/>
      <protection locked="0"/>
    </xf>
    <xf numFmtId="164" fontId="34" fillId="0" borderId="0" xfId="0" applyNumberFormat="1" applyFont="1" applyFill="1" applyBorder="1" applyAlignment="1" applyProtection="1">
      <alignment horizontal="left"/>
      <protection hidden="1"/>
    </xf>
    <xf numFmtId="0" fontId="23" fillId="0" borderId="0" xfId="0" applyFont="1" applyFill="1" applyBorder="1" applyProtection="1">
      <protection hidden="1"/>
    </xf>
    <xf numFmtId="0" fontId="23" fillId="0" borderId="0" xfId="0" quotePrefix="1" applyFont="1" applyProtection="1">
      <protection hidden="1"/>
    </xf>
    <xf numFmtId="0" fontId="23" fillId="0" borderId="0" xfId="0" applyFont="1" applyFill="1" applyAlignment="1">
      <alignment horizontal="right"/>
    </xf>
    <xf numFmtId="0" fontId="34" fillId="11" borderId="11" xfId="0" applyFont="1" applyFill="1" applyBorder="1" applyAlignment="1" applyProtection="1">
      <alignment horizontal="left"/>
      <protection hidden="1"/>
    </xf>
    <xf numFmtId="164" fontId="34" fillId="11" borderId="39" xfId="0" applyNumberFormat="1" applyFont="1" applyFill="1" applyBorder="1" applyAlignment="1" applyProtection="1">
      <alignment horizontal="center"/>
      <protection hidden="1"/>
    </xf>
    <xf numFmtId="0" fontId="34" fillId="11" borderId="39" xfId="0" applyFont="1" applyFill="1" applyBorder="1" applyAlignment="1" applyProtection="1">
      <alignment horizontal="center"/>
      <protection hidden="1"/>
    </xf>
    <xf numFmtId="0" fontId="34" fillId="11" borderId="55" xfId="0" applyFont="1" applyFill="1" applyBorder="1" applyAlignment="1" applyProtection="1">
      <alignment horizontal="center"/>
      <protection hidden="1"/>
    </xf>
    <xf numFmtId="0" fontId="34" fillId="11" borderId="56" xfId="0" applyFont="1" applyFill="1" applyBorder="1" applyAlignment="1" applyProtection="1">
      <alignment horizontal="center"/>
      <protection hidden="1"/>
    </xf>
    <xf numFmtId="0" fontId="23" fillId="11" borderId="43" xfId="0" applyFont="1" applyFill="1" applyBorder="1" applyProtection="1">
      <protection hidden="1"/>
    </xf>
    <xf numFmtId="0" fontId="23" fillId="11" borderId="30" xfId="0" applyFont="1" applyFill="1" applyBorder="1" applyAlignment="1" applyProtection="1">
      <alignment horizontal="center"/>
      <protection hidden="1"/>
    </xf>
    <xf numFmtId="0" fontId="23" fillId="11" borderId="44" xfId="0" applyFont="1" applyFill="1" applyBorder="1" applyProtection="1">
      <protection hidden="1"/>
    </xf>
    <xf numFmtId="0" fontId="23" fillId="11" borderId="45" xfId="0" applyFont="1" applyFill="1" applyBorder="1" applyAlignment="1" applyProtection="1">
      <alignment horizontal="center"/>
      <protection hidden="1"/>
    </xf>
    <xf numFmtId="0" fontId="23" fillId="11" borderId="0" xfId="0" applyFont="1" applyFill="1" applyBorder="1" applyAlignment="1" applyProtection="1">
      <alignment horizontal="right"/>
      <protection hidden="1"/>
    </xf>
    <xf numFmtId="167" fontId="23" fillId="11" borderId="0" xfId="0" applyNumberFormat="1" applyFont="1" applyFill="1" applyBorder="1" applyAlignment="1" applyProtection="1">
      <alignment horizontal="right"/>
      <protection hidden="1"/>
    </xf>
    <xf numFmtId="0" fontId="23" fillId="11" borderId="9" xfId="0" applyFont="1" applyFill="1" applyBorder="1" applyProtection="1">
      <protection hidden="1"/>
    </xf>
    <xf numFmtId="0" fontId="23" fillId="11" borderId="46" xfId="0" applyFont="1" applyFill="1" applyBorder="1" applyAlignment="1" applyProtection="1">
      <alignment horizontal="center"/>
      <protection hidden="1"/>
    </xf>
    <xf numFmtId="0" fontId="23" fillId="11" borderId="30" xfId="0" applyFont="1" applyFill="1" applyBorder="1" applyAlignment="1" applyProtection="1">
      <alignment horizontal="right"/>
      <protection hidden="1"/>
    </xf>
    <xf numFmtId="167" fontId="23" fillId="11" borderId="30" xfId="0" applyNumberFormat="1" applyFont="1" applyFill="1" applyBorder="1" applyAlignment="1" applyProtection="1">
      <alignment horizontal="right"/>
      <protection hidden="1"/>
    </xf>
    <xf numFmtId="0" fontId="23" fillId="11" borderId="11" xfId="0" applyFont="1" applyFill="1" applyBorder="1" applyProtection="1">
      <protection hidden="1"/>
    </xf>
    <xf numFmtId="0" fontId="23" fillId="11" borderId="0" xfId="0" applyFont="1" applyFill="1" applyBorder="1" applyAlignment="1" applyProtection="1">
      <alignment horizontal="center"/>
      <protection hidden="1"/>
    </xf>
    <xf numFmtId="0" fontId="23" fillId="11" borderId="47" xfId="0" applyFont="1" applyFill="1" applyBorder="1" applyAlignment="1" applyProtection="1">
      <alignment horizontal="center"/>
      <protection hidden="1"/>
    </xf>
    <xf numFmtId="0" fontId="23" fillId="11" borderId="14" xfId="0" applyFont="1" applyFill="1" applyBorder="1" applyAlignment="1" applyProtection="1">
      <alignment horizontal="right"/>
      <protection hidden="1"/>
    </xf>
    <xf numFmtId="167" fontId="23" fillId="11" borderId="14" xfId="0" applyNumberFormat="1" applyFont="1" applyFill="1" applyBorder="1" applyAlignment="1" applyProtection="1">
      <alignment horizontal="right"/>
      <protection hidden="1"/>
    </xf>
    <xf numFmtId="0" fontId="23" fillId="11" borderId="48" xfId="0" applyFont="1" applyFill="1" applyBorder="1" applyProtection="1">
      <protection hidden="1"/>
    </xf>
    <xf numFmtId="0" fontId="23" fillId="11" borderId="12" xfId="0" applyFont="1" applyFill="1" applyBorder="1" applyAlignment="1" applyProtection="1">
      <alignment horizontal="center"/>
      <protection hidden="1"/>
    </xf>
    <xf numFmtId="2" fontId="23" fillId="11" borderId="14" xfId="0" applyNumberFormat="1" applyFont="1" applyFill="1" applyBorder="1" applyAlignment="1" applyProtection="1">
      <alignment horizontal="right"/>
      <protection hidden="1"/>
    </xf>
    <xf numFmtId="0" fontId="23" fillId="11" borderId="14" xfId="0" applyFont="1" applyFill="1" applyBorder="1" applyAlignment="1" applyProtection="1">
      <alignment horizontal="center"/>
      <protection hidden="1"/>
    </xf>
    <xf numFmtId="2" fontId="23" fillId="11" borderId="0" xfId="0" applyNumberFormat="1" applyFont="1" applyFill="1" applyBorder="1" applyAlignment="1" applyProtection="1">
      <alignment horizontal="right"/>
      <protection hidden="1"/>
    </xf>
    <xf numFmtId="0" fontId="23" fillId="11" borderId="40" xfId="0" applyFont="1" applyFill="1" applyBorder="1" applyAlignment="1" applyProtection="1">
      <alignment horizontal="center"/>
      <protection hidden="1"/>
    </xf>
    <xf numFmtId="0" fontId="23" fillId="11" borderId="7" xfId="0" applyFont="1" applyFill="1" applyBorder="1" applyAlignment="1" applyProtection="1">
      <alignment horizontal="center"/>
      <protection hidden="1"/>
    </xf>
    <xf numFmtId="0" fontId="23" fillId="11" borderId="41" xfId="0" applyFont="1" applyFill="1" applyBorder="1" applyProtection="1">
      <protection hidden="1"/>
    </xf>
    <xf numFmtId="0" fontId="24" fillId="11" borderId="4" xfId="0" applyFont="1" applyFill="1" applyBorder="1" applyAlignment="1" applyProtection="1">
      <alignment horizontal="center"/>
      <protection hidden="1"/>
    </xf>
    <xf numFmtId="0" fontId="24" fillId="11" borderId="0" xfId="0" applyFont="1" applyFill="1" applyBorder="1" applyAlignment="1" applyProtection="1">
      <protection hidden="1"/>
    </xf>
    <xf numFmtId="167" fontId="24" fillId="11" borderId="0" xfId="0" applyNumberFormat="1" applyFont="1" applyFill="1" applyBorder="1" applyAlignment="1" applyProtection="1">
      <alignment horizontal="center"/>
      <protection hidden="1"/>
    </xf>
    <xf numFmtId="0" fontId="24" fillId="11" borderId="9" xfId="0" applyFont="1" applyFill="1" applyBorder="1" applyProtection="1">
      <protection hidden="1"/>
    </xf>
    <xf numFmtId="0" fontId="23" fillId="11" borderId="42" xfId="0" applyFont="1" applyFill="1" applyBorder="1" applyAlignment="1" applyProtection="1">
      <alignment horizontal="center"/>
      <protection hidden="1"/>
    </xf>
    <xf numFmtId="0" fontId="36" fillId="11" borderId="49" xfId="0" applyFont="1" applyFill="1" applyBorder="1" applyAlignment="1" applyProtection="1">
      <alignment horizontal="center"/>
      <protection hidden="1"/>
    </xf>
    <xf numFmtId="0" fontId="34" fillId="11" borderId="7" xfId="0" applyFont="1" applyFill="1" applyBorder="1" applyAlignment="1" applyProtection="1">
      <alignment horizontal="center"/>
      <protection hidden="1"/>
    </xf>
    <xf numFmtId="0" fontId="23" fillId="11" borderId="39" xfId="0" applyFont="1" applyFill="1" applyBorder="1" applyAlignment="1" applyProtection="1">
      <alignment horizontal="center"/>
      <protection hidden="1"/>
    </xf>
    <xf numFmtId="0" fontId="23" fillId="0" borderId="0" xfId="0" applyFont="1" applyFill="1" applyAlignment="1">
      <alignment horizontal="right" vertical="top"/>
    </xf>
    <xf numFmtId="0" fontId="25" fillId="0" borderId="0" xfId="0" applyFont="1"/>
    <xf numFmtId="0" fontId="22" fillId="0" borderId="0" xfId="0" applyFont="1"/>
    <xf numFmtId="0" fontId="22" fillId="0" borderId="0" xfId="0" applyFont="1" applyFill="1"/>
    <xf numFmtId="0" fontId="17" fillId="0" borderId="0" xfId="0" applyFont="1" applyProtection="1"/>
    <xf numFmtId="166" fontId="17" fillId="3" borderId="14" xfId="0" applyNumberFormat="1" applyFont="1" applyFill="1" applyBorder="1" applyAlignment="1" applyProtection="1">
      <alignment horizontal="center"/>
      <protection locked="0"/>
    </xf>
    <xf numFmtId="167" fontId="17" fillId="3" borderId="14" xfId="0" applyNumberFormat="1" applyFont="1" applyFill="1" applyBorder="1" applyAlignment="1" applyProtection="1">
      <alignment horizontal="center"/>
      <protection locked="0"/>
    </xf>
    <xf numFmtId="0" fontId="17" fillId="3" borderId="1" xfId="0" applyFont="1" applyFill="1" applyBorder="1" applyAlignment="1" applyProtection="1">
      <alignment horizontal="center"/>
      <protection locked="0"/>
    </xf>
    <xf numFmtId="0" fontId="17" fillId="0" borderId="0" xfId="0" applyFont="1" applyFill="1" applyAlignment="1">
      <alignment horizontal="center"/>
    </xf>
    <xf numFmtId="0" fontId="17" fillId="0" borderId="0" xfId="0" applyFont="1" applyFill="1" applyBorder="1" applyAlignment="1" applyProtection="1">
      <alignment horizontal="center"/>
    </xf>
    <xf numFmtId="14" fontId="17" fillId="0" borderId="0" xfId="0" applyNumberFormat="1" applyFont="1" applyFill="1" applyBorder="1" applyAlignment="1" applyProtection="1">
      <alignment horizontal="center"/>
    </xf>
    <xf numFmtId="165" fontId="17" fillId="3" borderId="30" xfId="0" applyNumberFormat="1" applyFont="1" applyFill="1" applyBorder="1" applyAlignment="1" applyProtection="1">
      <alignment horizontal="center"/>
      <protection locked="0"/>
    </xf>
    <xf numFmtId="167" fontId="17" fillId="3" borderId="30" xfId="0" applyNumberFormat="1" applyFont="1" applyFill="1" applyBorder="1" applyAlignment="1" applyProtection="1">
      <alignment horizontal="center"/>
      <protection locked="0"/>
    </xf>
    <xf numFmtId="0" fontId="17" fillId="3" borderId="2" xfId="0" applyFont="1" applyFill="1" applyBorder="1" applyAlignment="1" applyProtection="1">
      <alignment horizontal="center"/>
      <protection locked="0"/>
    </xf>
    <xf numFmtId="166" fontId="17" fillId="3" borderId="12" xfId="0" applyNumberFormat="1" applyFont="1" applyFill="1" applyBorder="1" applyAlignment="1" applyProtection="1">
      <alignment horizontal="center"/>
      <protection locked="0"/>
    </xf>
    <xf numFmtId="166" fontId="17" fillId="3" borderId="13" xfId="0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166" fontId="17" fillId="6" borderId="30" xfId="0" applyNumberFormat="1" applyFont="1" applyFill="1" applyBorder="1" applyAlignment="1">
      <alignment horizontal="center"/>
    </xf>
    <xf numFmtId="0" fontId="17" fillId="0" borderId="26" xfId="0" applyFont="1" applyBorder="1"/>
    <xf numFmtId="0" fontId="17" fillId="0" borderId="0" xfId="0" applyFont="1" applyBorder="1"/>
    <xf numFmtId="166" fontId="17" fillId="0" borderId="0" xfId="0" applyNumberFormat="1" applyFont="1" applyBorder="1"/>
    <xf numFmtId="166" fontId="17" fillId="0" borderId="27" xfId="0" applyNumberFormat="1" applyFont="1" applyBorder="1"/>
    <xf numFmtId="166" fontId="17" fillId="6" borderId="12" xfId="0" applyNumberFormat="1" applyFont="1" applyFill="1" applyBorder="1" applyAlignment="1">
      <alignment horizontal="center"/>
    </xf>
    <xf numFmtId="166" fontId="17" fillId="6" borderId="28" xfId="0" applyNumberFormat="1" applyFont="1" applyFill="1" applyBorder="1" applyAlignment="1">
      <alignment horizontal="center"/>
    </xf>
    <xf numFmtId="166" fontId="17" fillId="3" borderId="12" xfId="0" applyNumberFormat="1" applyFont="1" applyFill="1" applyBorder="1" applyAlignment="1" applyProtection="1">
      <alignment horizontal="center"/>
    </xf>
    <xf numFmtId="166" fontId="17" fillId="3" borderId="13" xfId="0" applyNumberFormat="1" applyFont="1" applyFill="1" applyBorder="1" applyAlignment="1" applyProtection="1">
      <alignment horizontal="center"/>
    </xf>
    <xf numFmtId="0" fontId="17" fillId="0" borderId="0" xfId="0" applyFont="1" applyAlignment="1" applyProtection="1"/>
    <xf numFmtId="0" fontId="17" fillId="0" borderId="24" xfId="0" applyFont="1" applyBorder="1"/>
    <xf numFmtId="166" fontId="17" fillId="6" borderId="24" xfId="0" applyNumberFormat="1" applyFont="1" applyFill="1" applyBorder="1" applyAlignment="1">
      <alignment horizontal="center"/>
    </xf>
    <xf numFmtId="167" fontId="17" fillId="6" borderId="24" xfId="0" applyNumberFormat="1" applyFont="1" applyFill="1" applyBorder="1" applyAlignment="1">
      <alignment horizontal="center"/>
    </xf>
    <xf numFmtId="0" fontId="17" fillId="6" borderId="25" xfId="0" applyFont="1" applyFill="1" applyBorder="1" applyAlignment="1">
      <alignment horizontal="center"/>
    </xf>
    <xf numFmtId="0" fontId="17" fillId="0" borderId="30" xfId="0" applyFont="1" applyBorder="1"/>
    <xf numFmtId="165" fontId="17" fillId="6" borderId="30" xfId="0" applyNumberFormat="1" applyFont="1" applyFill="1" applyBorder="1" applyAlignment="1">
      <alignment horizontal="center"/>
    </xf>
    <xf numFmtId="167" fontId="17" fillId="6" borderId="30" xfId="0" applyNumberFormat="1" applyFont="1" applyFill="1" applyBorder="1" applyAlignment="1">
      <alignment horizontal="center"/>
    </xf>
    <xf numFmtId="0" fontId="17" fillId="6" borderId="31" xfId="0" applyFont="1" applyFill="1" applyBorder="1" applyAlignment="1">
      <alignment horizontal="center"/>
    </xf>
    <xf numFmtId="0" fontId="17" fillId="0" borderId="26" xfId="0" applyFont="1" applyBorder="1" applyAlignment="1">
      <alignment horizontal="center"/>
    </xf>
    <xf numFmtId="166" fontId="17" fillId="0" borderId="0" xfId="0" applyNumberFormat="1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167" fontId="17" fillId="0" borderId="0" xfId="0" applyNumberFormat="1" applyFont="1" applyBorder="1" applyAlignment="1">
      <alignment horizontal="center"/>
    </xf>
    <xf numFmtId="0" fontId="17" fillId="0" borderId="27" xfId="0" applyFont="1" applyBorder="1" applyAlignment="1">
      <alignment horizontal="center"/>
    </xf>
    <xf numFmtId="0" fontId="17" fillId="0" borderId="33" xfId="0" applyFont="1" applyBorder="1"/>
    <xf numFmtId="166" fontId="17" fillId="6" borderId="14" xfId="0" applyNumberFormat="1" applyFont="1" applyFill="1" applyBorder="1" applyAlignment="1">
      <alignment horizontal="center"/>
    </xf>
    <xf numFmtId="167" fontId="17" fillId="6" borderId="14" xfId="0" applyNumberFormat="1" applyFont="1" applyFill="1" applyBorder="1" applyAlignment="1">
      <alignment horizontal="center"/>
    </xf>
    <xf numFmtId="0" fontId="17" fillId="6" borderId="32" xfId="0" applyFont="1" applyFill="1" applyBorder="1" applyAlignment="1">
      <alignment horizontal="center"/>
    </xf>
    <xf numFmtId="0" fontId="17" fillId="0" borderId="34" xfId="0" applyFont="1" applyBorder="1"/>
    <xf numFmtId="0" fontId="17" fillId="0" borderId="35" xfId="0" applyFont="1" applyBorder="1"/>
    <xf numFmtId="165" fontId="17" fillId="6" borderId="28" xfId="0" applyNumberFormat="1" applyFont="1" applyFill="1" applyBorder="1" applyAlignment="1">
      <alignment horizontal="center"/>
    </xf>
    <xf numFmtId="167" fontId="17" fillId="6" borderId="28" xfId="0" applyNumberFormat="1" applyFont="1" applyFill="1" applyBorder="1" applyAlignment="1">
      <alignment horizontal="center"/>
    </xf>
    <xf numFmtId="0" fontId="17" fillId="6" borderId="29" xfId="0" applyFont="1" applyFill="1" applyBorder="1" applyAlignment="1">
      <alignment horizontal="center"/>
    </xf>
    <xf numFmtId="0" fontId="37" fillId="0" borderId="0" xfId="0" applyFont="1"/>
    <xf numFmtId="166" fontId="17" fillId="0" borderId="0" xfId="0" applyNumberFormat="1" applyFont="1" applyFill="1" applyBorder="1" applyAlignment="1">
      <alignment horizontal="center"/>
    </xf>
    <xf numFmtId="0" fontId="17" fillId="0" borderId="0" xfId="0" applyFont="1" applyFill="1" applyBorder="1"/>
    <xf numFmtId="0" fontId="38" fillId="0" borderId="0" xfId="0" applyFont="1"/>
    <xf numFmtId="0" fontId="17" fillId="0" borderId="0" xfId="0" applyFont="1" applyFill="1" applyProtection="1">
      <protection hidden="1"/>
    </xf>
    <xf numFmtId="167" fontId="17" fillId="0" borderId="0" xfId="0" applyNumberFormat="1" applyFont="1" applyFill="1" applyProtection="1">
      <protection hidden="1"/>
    </xf>
    <xf numFmtId="0" fontId="17" fillId="0" borderId="0" xfId="0" applyFont="1" applyAlignment="1" applyProtection="1">
      <alignment horizontal="center"/>
      <protection hidden="1"/>
    </xf>
    <xf numFmtId="49" fontId="17" fillId="0" borderId="0" xfId="0" applyNumberFormat="1" applyFont="1" applyProtection="1">
      <protection hidden="1"/>
    </xf>
    <xf numFmtId="167" fontId="17" fillId="0" borderId="0" xfId="0" applyNumberFormat="1" applyFont="1" applyProtection="1">
      <protection hidden="1"/>
    </xf>
    <xf numFmtId="0" fontId="17" fillId="0" borderId="0" xfId="0" applyNumberFormat="1" applyFont="1" applyProtection="1">
      <protection hidden="1"/>
    </xf>
    <xf numFmtId="0" fontId="17" fillId="0" borderId="0" xfId="0" applyNumberFormat="1" applyFont="1" applyFill="1" applyProtection="1">
      <protection hidden="1"/>
    </xf>
    <xf numFmtId="0" fontId="26" fillId="11" borderId="3" xfId="0" applyFont="1" applyFill="1" applyBorder="1" applyProtection="1">
      <protection hidden="1"/>
    </xf>
    <xf numFmtId="0" fontId="17" fillId="11" borderId="37" xfId="0" applyFont="1" applyFill="1" applyBorder="1" applyAlignment="1">
      <alignment horizontal="center" vertical="center"/>
    </xf>
    <xf numFmtId="0" fontId="17" fillId="11" borderId="38" xfId="0" applyFont="1" applyFill="1" applyBorder="1" applyAlignment="1">
      <alignment horizontal="center" vertical="center"/>
    </xf>
    <xf numFmtId="0" fontId="17" fillId="11" borderId="1" xfId="0" applyFont="1" applyFill="1" applyBorder="1" applyAlignment="1">
      <alignment horizontal="center"/>
    </xf>
    <xf numFmtId="0" fontId="17" fillId="11" borderId="2" xfId="0" applyFont="1" applyFill="1" applyBorder="1" applyAlignment="1">
      <alignment horizontal="center"/>
    </xf>
    <xf numFmtId="175" fontId="17" fillId="6" borderId="30" xfId="0" applyNumberFormat="1" applyFont="1" applyFill="1" applyBorder="1" applyAlignment="1">
      <alignment horizontal="center"/>
    </xf>
    <xf numFmtId="175" fontId="17" fillId="6" borderId="31" xfId="0" applyNumberFormat="1" applyFont="1" applyFill="1" applyBorder="1" applyAlignment="1">
      <alignment horizontal="center"/>
    </xf>
    <xf numFmtId="175" fontId="17" fillId="6" borderId="36" xfId="0" applyNumberFormat="1" applyFont="1" applyFill="1" applyBorder="1" applyAlignment="1">
      <alignment horizontal="center"/>
    </xf>
    <xf numFmtId="175" fontId="17" fillId="6" borderId="29" xfId="0" applyNumberFormat="1" applyFont="1" applyFill="1" applyBorder="1" applyAlignment="1">
      <alignment horizontal="center"/>
    </xf>
    <xf numFmtId="175" fontId="17" fillId="6" borderId="12" xfId="0" applyNumberFormat="1" applyFont="1" applyFill="1" applyBorder="1" applyAlignment="1">
      <alignment horizontal="center"/>
    </xf>
    <xf numFmtId="175" fontId="17" fillId="6" borderId="28" xfId="0" applyNumberFormat="1" applyFont="1" applyFill="1" applyBorder="1" applyAlignment="1">
      <alignment horizontal="center"/>
    </xf>
    <xf numFmtId="0" fontId="25" fillId="0" borderId="0" xfId="0" applyFont="1" applyProtection="1"/>
    <xf numFmtId="164" fontId="25" fillId="0" borderId="0" xfId="0" applyNumberFormat="1" applyFont="1" applyProtection="1"/>
    <xf numFmtId="0" fontId="25" fillId="0" borderId="0" xfId="0" applyFont="1" applyBorder="1" applyProtection="1">
      <protection locked="0"/>
    </xf>
    <xf numFmtId="164" fontId="25" fillId="0" borderId="0" xfId="0" applyNumberFormat="1" applyFont="1" applyBorder="1" applyProtection="1">
      <protection hidden="1"/>
    </xf>
    <xf numFmtId="0" fontId="25" fillId="0" borderId="9" xfId="0" applyFont="1" applyBorder="1" applyAlignment="1" applyProtection="1">
      <alignment horizontal="center"/>
      <protection hidden="1"/>
    </xf>
    <xf numFmtId="0" fontId="25" fillId="0" borderId="10" xfId="0" applyFont="1" applyBorder="1" applyAlignment="1" applyProtection="1">
      <alignment horizontal="center"/>
    </xf>
    <xf numFmtId="0" fontId="25" fillId="5" borderId="13" xfId="0" applyFont="1" applyFill="1" applyBorder="1" applyAlignment="1" applyProtection="1">
      <alignment horizontal="center"/>
      <protection locked="0" hidden="1"/>
    </xf>
    <xf numFmtId="0" fontId="25" fillId="5" borderId="13" xfId="0" applyFont="1" applyFill="1" applyBorder="1" applyAlignment="1" applyProtection="1">
      <alignment horizontal="center"/>
      <protection locked="0"/>
    </xf>
    <xf numFmtId="164" fontId="25" fillId="0" borderId="0" xfId="0" applyNumberFormat="1" applyFont="1" applyBorder="1" applyAlignment="1" applyProtection="1">
      <alignment horizontal="center"/>
      <protection hidden="1"/>
    </xf>
    <xf numFmtId="164" fontId="25" fillId="0" borderId="9" xfId="0" applyNumberFormat="1" applyFont="1" applyBorder="1" applyAlignment="1" applyProtection="1">
      <alignment horizontal="center"/>
      <protection hidden="1"/>
    </xf>
    <xf numFmtId="0" fontId="25" fillId="0" borderId="12" xfId="0" applyFont="1" applyBorder="1" applyAlignment="1" applyProtection="1">
      <alignment horizontal="center"/>
      <protection locked="0" hidden="1"/>
    </xf>
    <xf numFmtId="0" fontId="25" fillId="0" borderId="0" xfId="0" applyFont="1" applyBorder="1" applyAlignment="1" applyProtection="1">
      <alignment horizontal="center"/>
      <protection locked="0" hidden="1"/>
    </xf>
    <xf numFmtId="0" fontId="25" fillId="0" borderId="0" xfId="0" applyFont="1" applyFill="1" applyBorder="1" applyAlignment="1" applyProtection="1">
      <alignment horizontal="center"/>
      <protection locked="0"/>
    </xf>
    <xf numFmtId="0" fontId="25" fillId="0" borderId="14" xfId="0" applyFont="1" applyBorder="1" applyAlignment="1" applyProtection="1">
      <alignment horizontal="center"/>
      <protection locked="0" hidden="1"/>
    </xf>
    <xf numFmtId="0" fontId="25" fillId="5" borderId="12" xfId="0" applyFont="1" applyFill="1" applyBorder="1" applyAlignment="1" applyProtection="1">
      <alignment horizontal="center"/>
      <protection locked="0"/>
    </xf>
    <xf numFmtId="0" fontId="25" fillId="0" borderId="12" xfId="0" applyFont="1" applyBorder="1" applyAlignment="1" applyProtection="1">
      <alignment horizontal="center"/>
      <protection locked="0"/>
    </xf>
    <xf numFmtId="0" fontId="25" fillId="0" borderId="0" xfId="0" applyFont="1" applyBorder="1" applyAlignment="1" applyProtection="1">
      <alignment horizontal="center"/>
      <protection locked="0"/>
    </xf>
    <xf numFmtId="0" fontId="25" fillId="0" borderId="14" xfId="0" applyFont="1" applyBorder="1" applyAlignment="1" applyProtection="1">
      <alignment horizontal="center"/>
      <protection locked="0"/>
    </xf>
    <xf numFmtId="0" fontId="25" fillId="0" borderId="15" xfId="0" applyFont="1" applyBorder="1" applyAlignment="1" applyProtection="1">
      <alignment horizontal="center"/>
    </xf>
    <xf numFmtId="164" fontId="25" fillId="0" borderId="18" xfId="0" applyNumberFormat="1" applyFont="1" applyBorder="1" applyAlignment="1" applyProtection="1">
      <alignment horizontal="center"/>
      <protection hidden="1"/>
    </xf>
    <xf numFmtId="164" fontId="25" fillId="0" borderId="19" xfId="0" applyNumberFormat="1" applyFont="1" applyBorder="1" applyAlignment="1" applyProtection="1">
      <alignment horizontal="center"/>
      <protection hidden="1"/>
    </xf>
    <xf numFmtId="0" fontId="25" fillId="0" borderId="20" xfId="0" applyFont="1" applyBorder="1" applyAlignment="1" applyProtection="1">
      <alignment horizontal="center"/>
    </xf>
    <xf numFmtId="0" fontId="25" fillId="0" borderId="16" xfId="0" applyFont="1" applyFill="1" applyBorder="1" applyAlignment="1" applyProtection="1">
      <alignment horizontal="center"/>
      <protection locked="0"/>
    </xf>
    <xf numFmtId="0" fontId="25" fillId="0" borderId="16" xfId="0" applyFont="1" applyBorder="1" applyAlignment="1" applyProtection="1">
      <alignment horizontal="center"/>
      <protection locked="0"/>
    </xf>
    <xf numFmtId="0" fontId="25" fillId="0" borderId="0" xfId="0" applyFont="1" applyFill="1" applyBorder="1" applyProtection="1"/>
    <xf numFmtId="0" fontId="25" fillId="0" borderId="0" xfId="0" applyFont="1" applyFill="1" applyProtection="1"/>
    <xf numFmtId="164" fontId="25" fillId="0" borderId="0" xfId="0" applyNumberFormat="1" applyFont="1"/>
    <xf numFmtId="176" fontId="25" fillId="0" borderId="0" xfId="0" applyNumberFormat="1" applyFont="1"/>
    <xf numFmtId="176" fontId="25" fillId="0" borderId="0" xfId="0" applyNumberFormat="1" applyFont="1" applyProtection="1"/>
    <xf numFmtId="176" fontId="25" fillId="0" borderId="0" xfId="0" applyNumberFormat="1" applyFont="1" applyBorder="1" applyProtection="1">
      <protection locked="0"/>
    </xf>
    <xf numFmtId="176" fontId="25" fillId="0" borderId="0" xfId="0" applyNumberFormat="1" applyFont="1" applyBorder="1" applyAlignment="1" applyProtection="1">
      <alignment horizontal="right"/>
      <protection locked="0" hidden="1"/>
    </xf>
    <xf numFmtId="176" fontId="25" fillId="5" borderId="12" xfId="0" applyNumberFormat="1" applyFont="1" applyFill="1" applyBorder="1" applyAlignment="1" applyProtection="1">
      <alignment horizontal="right"/>
      <protection locked="0" hidden="1"/>
    </xf>
    <xf numFmtId="176" fontId="25" fillId="0" borderId="14" xfId="0" applyNumberFormat="1" applyFont="1" applyBorder="1" applyAlignment="1" applyProtection="1">
      <alignment horizontal="right"/>
      <protection locked="0" hidden="1"/>
    </xf>
    <xf numFmtId="176" fontId="25" fillId="0" borderId="0" xfId="0" applyNumberFormat="1" applyFont="1" applyFill="1" applyBorder="1" applyAlignment="1" applyProtection="1">
      <alignment horizontal="right"/>
      <protection locked="0"/>
    </xf>
    <xf numFmtId="176" fontId="25" fillId="5" borderId="12" xfId="0" applyNumberFormat="1" applyFont="1" applyFill="1" applyBorder="1" applyAlignment="1" applyProtection="1">
      <alignment horizontal="right"/>
      <protection locked="0"/>
    </xf>
    <xf numFmtId="176" fontId="25" fillId="0" borderId="0" xfId="0" applyNumberFormat="1" applyFont="1" applyBorder="1" applyAlignment="1" applyProtection="1">
      <alignment horizontal="right"/>
      <protection locked="0"/>
    </xf>
    <xf numFmtId="176" fontId="25" fillId="0" borderId="14" xfId="0" applyNumberFormat="1" applyFont="1" applyBorder="1" applyAlignment="1" applyProtection="1">
      <alignment horizontal="right"/>
      <protection locked="0"/>
    </xf>
    <xf numFmtId="176" fontId="25" fillId="0" borderId="0" xfId="0" applyNumberFormat="1" applyFont="1" applyFill="1" applyBorder="1" applyProtection="1">
      <protection locked="0"/>
    </xf>
    <xf numFmtId="176" fontId="25" fillId="5" borderId="12" xfId="0" applyNumberFormat="1" applyFont="1" applyFill="1" applyBorder="1" applyProtection="1">
      <protection locked="0"/>
    </xf>
    <xf numFmtId="176" fontId="25" fillId="0" borderId="16" xfId="0" applyNumberFormat="1" applyFont="1" applyFill="1" applyBorder="1" applyProtection="1">
      <protection locked="0"/>
    </xf>
    <xf numFmtId="177" fontId="25" fillId="0" borderId="0" xfId="0" applyNumberFormat="1" applyFont="1"/>
    <xf numFmtId="177" fontId="25" fillId="0" borderId="0" xfId="0" applyNumberFormat="1" applyFont="1" applyProtection="1"/>
    <xf numFmtId="177" fontId="25" fillId="0" borderId="0" xfId="0" applyNumberFormat="1" applyFont="1" applyBorder="1" applyProtection="1">
      <protection locked="0"/>
    </xf>
    <xf numFmtId="177" fontId="25" fillId="5" borderId="12" xfId="0" applyNumberFormat="1" applyFont="1" applyFill="1" applyBorder="1" applyAlignment="1" applyProtection="1">
      <alignment horizontal="right"/>
      <protection locked="0" hidden="1"/>
    </xf>
    <xf numFmtId="177" fontId="25" fillId="0" borderId="12" xfId="0" applyNumberFormat="1" applyFont="1" applyBorder="1" applyAlignment="1" applyProtection="1">
      <alignment horizontal="right"/>
      <protection locked="0" hidden="1"/>
    </xf>
    <xf numFmtId="177" fontId="25" fillId="0" borderId="14" xfId="0" applyNumberFormat="1" applyFont="1" applyBorder="1" applyAlignment="1" applyProtection="1">
      <alignment horizontal="right"/>
      <protection locked="0" hidden="1"/>
    </xf>
    <xf numFmtId="177" fontId="25" fillId="0" borderId="0" xfId="0" applyNumberFormat="1" applyFont="1" applyBorder="1" applyAlignment="1" applyProtection="1">
      <alignment horizontal="right"/>
      <protection locked="0" hidden="1"/>
    </xf>
    <xf numFmtId="177" fontId="25" fillId="0" borderId="0" xfId="0" applyNumberFormat="1" applyFont="1" applyFill="1" applyBorder="1" applyProtection="1">
      <protection locked="0"/>
    </xf>
    <xf numFmtId="177" fontId="25" fillId="5" borderId="3" xfId="0" applyNumberFormat="1" applyFont="1" applyFill="1" applyBorder="1" applyProtection="1">
      <protection locked="0"/>
    </xf>
    <xf numFmtId="177" fontId="25" fillId="5" borderId="12" xfId="0" applyNumberFormat="1" applyFont="1" applyFill="1" applyBorder="1" applyAlignment="1" applyProtection="1">
      <alignment horizontal="right"/>
      <protection locked="0"/>
    </xf>
    <xf numFmtId="177" fontId="25" fillId="0" borderId="12" xfId="0" applyNumberFormat="1" applyFont="1" applyBorder="1" applyAlignment="1" applyProtection="1">
      <alignment horizontal="right"/>
      <protection locked="0"/>
    </xf>
    <xf numFmtId="177" fontId="25" fillId="0" borderId="14" xfId="0" applyNumberFormat="1" applyFont="1" applyBorder="1" applyAlignment="1" applyProtection="1">
      <alignment horizontal="right"/>
      <protection locked="0"/>
    </xf>
    <xf numFmtId="177" fontId="25" fillId="0" borderId="0" xfId="0" applyNumberFormat="1" applyFont="1" applyBorder="1" applyAlignment="1" applyProtection="1">
      <alignment horizontal="right"/>
      <protection locked="0"/>
    </xf>
    <xf numFmtId="177" fontId="25" fillId="0" borderId="16" xfId="0" applyNumberFormat="1" applyFont="1" applyFill="1" applyBorder="1" applyProtection="1">
      <protection locked="0"/>
    </xf>
    <xf numFmtId="177" fontId="25" fillId="0" borderId="0" xfId="0" applyNumberFormat="1" applyFont="1" applyBorder="1" applyProtection="1">
      <protection hidden="1"/>
    </xf>
    <xf numFmtId="177" fontId="25" fillId="0" borderId="0" xfId="0" applyNumberFormat="1" applyFont="1" applyBorder="1" applyAlignment="1" applyProtection="1">
      <alignment horizontal="center"/>
      <protection hidden="1"/>
    </xf>
    <xf numFmtId="177" fontId="25" fillId="0" borderId="18" xfId="0" applyNumberFormat="1" applyFont="1" applyBorder="1" applyAlignment="1" applyProtection="1">
      <alignment horizontal="center"/>
      <protection hidden="1"/>
    </xf>
    <xf numFmtId="178" fontId="25" fillId="0" borderId="0" xfId="0" applyNumberFormat="1" applyFont="1"/>
    <xf numFmtId="178" fontId="25" fillId="0" borderId="0" xfId="0" applyNumberFormat="1" applyFont="1" applyProtection="1"/>
    <xf numFmtId="178" fontId="25" fillId="0" borderId="0" xfId="0" applyNumberFormat="1" applyFont="1" applyBorder="1" applyProtection="1">
      <protection locked="0"/>
    </xf>
    <xf numFmtId="178" fontId="25" fillId="5" borderId="12" xfId="0" applyNumberFormat="1" applyFont="1" applyFill="1" applyBorder="1" applyProtection="1">
      <protection locked="0" hidden="1"/>
    </xf>
    <xf numFmtId="178" fontId="25" fillId="0" borderId="0" xfId="0" applyNumberFormat="1" applyFont="1" applyBorder="1" applyProtection="1">
      <protection locked="0" hidden="1"/>
    </xf>
    <xf numFmtId="178" fontId="25" fillId="0" borderId="12" xfId="0" applyNumberFormat="1" applyFont="1" applyBorder="1" applyProtection="1">
      <protection locked="0" hidden="1"/>
    </xf>
    <xf numFmtId="178" fontId="25" fillId="0" borderId="14" xfId="0" applyNumberFormat="1" applyFont="1" applyBorder="1" applyProtection="1">
      <protection locked="0" hidden="1"/>
    </xf>
    <xf numFmtId="178" fontId="25" fillId="0" borderId="0" xfId="0" applyNumberFormat="1" applyFont="1" applyFill="1" applyBorder="1" applyAlignment="1" applyProtection="1">
      <alignment horizontal="right"/>
      <protection locked="0"/>
    </xf>
    <xf numFmtId="178" fontId="25" fillId="5" borderId="12" xfId="0" applyNumberFormat="1" applyFont="1" applyFill="1" applyBorder="1" applyAlignment="1" applyProtection="1">
      <alignment horizontal="right"/>
      <protection locked="0"/>
    </xf>
    <xf numFmtId="178" fontId="25" fillId="5" borderId="12" xfId="0" applyNumberFormat="1" applyFont="1" applyFill="1" applyBorder="1" applyProtection="1">
      <protection locked="0"/>
    </xf>
    <xf numFmtId="178" fontId="25" fillId="0" borderId="12" xfId="0" applyNumberFormat="1" applyFont="1" applyBorder="1" applyProtection="1">
      <protection locked="0"/>
    </xf>
    <xf numFmtId="178" fontId="25" fillId="0" borderId="14" xfId="0" applyNumberFormat="1" applyFont="1" applyBorder="1" applyProtection="1">
      <protection locked="0"/>
    </xf>
    <xf numFmtId="178" fontId="25" fillId="0" borderId="16" xfId="0" applyNumberFormat="1" applyFont="1" applyFill="1" applyBorder="1" applyAlignment="1" applyProtection="1">
      <alignment horizontal="right"/>
      <protection locked="0"/>
    </xf>
    <xf numFmtId="178" fontId="25" fillId="0" borderId="0" xfId="0" applyNumberFormat="1" applyFont="1" applyAlignment="1" applyProtection="1">
      <alignment horizontal="right"/>
    </xf>
    <xf numFmtId="178" fontId="25" fillId="0" borderId="0" xfId="0" applyNumberFormat="1" applyFont="1" applyAlignment="1">
      <alignment horizontal="right"/>
    </xf>
    <xf numFmtId="178" fontId="25" fillId="5" borderId="12" xfId="0" applyNumberFormat="1" applyFont="1" applyFill="1" applyBorder="1" applyAlignment="1" applyProtection="1">
      <alignment horizontal="center"/>
      <protection locked="0" hidden="1"/>
    </xf>
    <xf numFmtId="178" fontId="25" fillId="0" borderId="0" xfId="0" applyNumberFormat="1" applyFont="1" applyBorder="1" applyAlignment="1" applyProtection="1">
      <alignment horizontal="center"/>
      <protection locked="0" hidden="1"/>
    </xf>
    <xf numFmtId="178" fontId="25" fillId="0" borderId="12" xfId="0" applyNumberFormat="1" applyFont="1" applyBorder="1" applyAlignment="1" applyProtection="1">
      <alignment horizontal="center"/>
      <protection locked="0" hidden="1"/>
    </xf>
    <xf numFmtId="178" fontId="25" fillId="0" borderId="14" xfId="0" applyNumberFormat="1" applyFont="1" applyBorder="1" applyAlignment="1" applyProtection="1">
      <alignment horizontal="center"/>
      <protection locked="0" hidden="1"/>
    </xf>
    <xf numFmtId="178" fontId="25" fillId="0" borderId="0" xfId="0" applyNumberFormat="1" applyFont="1" applyFill="1" applyBorder="1" applyProtection="1">
      <protection locked="0"/>
    </xf>
    <xf numFmtId="178" fontId="25" fillId="5" borderId="12" xfId="0" applyNumberFormat="1" applyFont="1" applyFill="1" applyBorder="1" applyAlignment="1" applyProtection="1">
      <alignment horizontal="center"/>
      <protection locked="0"/>
    </xf>
    <xf numFmtId="178" fontId="25" fillId="0" borderId="12" xfId="0" applyNumberFormat="1" applyFont="1" applyBorder="1" applyAlignment="1" applyProtection="1">
      <alignment horizontal="center"/>
      <protection locked="0"/>
    </xf>
    <xf numFmtId="178" fontId="25" fillId="0" borderId="14" xfId="0" applyNumberFormat="1" applyFont="1" applyBorder="1" applyAlignment="1" applyProtection="1">
      <alignment horizontal="center"/>
      <protection locked="0"/>
    </xf>
    <xf numFmtId="178" fontId="25" fillId="0" borderId="0" xfId="0" applyNumberFormat="1" applyFont="1" applyBorder="1" applyAlignment="1" applyProtection="1">
      <alignment horizontal="center"/>
      <protection locked="0"/>
    </xf>
    <xf numFmtId="178" fontId="25" fillId="0" borderId="16" xfId="0" applyNumberFormat="1" applyFont="1" applyFill="1" applyBorder="1" applyProtection="1">
      <protection locked="0"/>
    </xf>
    <xf numFmtId="0" fontId="35" fillId="11" borderId="5" xfId="0" applyFont="1" applyFill="1" applyBorder="1" applyAlignment="1" applyProtection="1">
      <alignment horizontal="center" vertical="center"/>
    </xf>
    <xf numFmtId="177" fontId="35" fillId="11" borderId="5" xfId="0" applyNumberFormat="1" applyFont="1" applyFill="1" applyBorder="1" applyAlignment="1" applyProtection="1">
      <alignment horizontal="center" vertical="center"/>
    </xf>
    <xf numFmtId="164" fontId="35" fillId="11" borderId="5" xfId="0" applyNumberFormat="1" applyFont="1" applyFill="1" applyBorder="1" applyAlignment="1" applyProtection="1">
      <alignment horizontal="center" vertical="center"/>
    </xf>
    <xf numFmtId="0" fontId="35" fillId="11" borderId="6" xfId="0" applyFont="1" applyFill="1" applyBorder="1" applyAlignment="1" applyProtection="1">
      <alignment horizontal="center" vertical="center"/>
    </xf>
    <xf numFmtId="0" fontId="25" fillId="5" borderId="39" xfId="0" applyFont="1" applyFill="1" applyBorder="1" applyAlignment="1" applyProtection="1">
      <alignment horizontal="center"/>
      <protection locked="0"/>
    </xf>
    <xf numFmtId="0" fontId="35" fillId="11" borderId="81" xfId="0" applyFont="1" applyFill="1" applyBorder="1" applyAlignment="1" applyProtection="1">
      <alignment horizontal="center" vertical="center"/>
    </xf>
    <xf numFmtId="0" fontId="0" fillId="0" borderId="0" xfId="0" applyBorder="1" applyProtection="1"/>
    <xf numFmtId="0" fontId="35" fillId="0" borderId="0" xfId="0" applyFont="1" applyFill="1" applyBorder="1" applyAlignment="1" applyProtection="1">
      <alignment horizontal="right"/>
      <protection hidden="1"/>
    </xf>
    <xf numFmtId="0" fontId="35" fillId="6" borderId="21" xfId="0" applyFont="1" applyFill="1" applyBorder="1" applyAlignment="1" applyProtection="1">
      <alignment horizontal="center"/>
      <protection hidden="1"/>
    </xf>
    <xf numFmtId="0" fontId="39" fillId="0" borderId="0" xfId="0" applyFont="1" applyProtection="1">
      <protection hidden="1"/>
    </xf>
    <xf numFmtId="166" fontId="25" fillId="3" borderId="14" xfId="0" applyNumberFormat="1" applyFont="1" applyFill="1" applyBorder="1" applyAlignment="1" applyProtection="1">
      <alignment horizontal="right"/>
      <protection locked="0"/>
    </xf>
    <xf numFmtId="169" fontId="25" fillId="3" borderId="14" xfId="0" applyNumberFormat="1" applyFont="1" applyFill="1" applyBorder="1" applyAlignment="1" applyProtection="1">
      <alignment horizontal="right"/>
      <protection locked="0"/>
    </xf>
    <xf numFmtId="0" fontId="25" fillId="3" borderId="50" xfId="0" applyFont="1" applyFill="1" applyBorder="1" applyAlignment="1" applyProtection="1">
      <alignment horizontal="center"/>
      <protection locked="0"/>
    </xf>
    <xf numFmtId="0" fontId="25" fillId="6" borderId="21" xfId="0" applyFont="1" applyFill="1" applyBorder="1" applyProtection="1">
      <protection hidden="1"/>
    </xf>
    <xf numFmtId="164" fontId="25" fillId="6" borderId="22" xfId="0" applyNumberFormat="1" applyFont="1" applyFill="1" applyBorder="1" applyAlignment="1" applyProtection="1">
      <alignment horizontal="center"/>
      <protection hidden="1"/>
    </xf>
    <xf numFmtId="0" fontId="35" fillId="0" borderId="0" xfId="0" applyFont="1" applyAlignment="1" applyProtection="1">
      <alignment horizontal="right"/>
      <protection hidden="1"/>
    </xf>
    <xf numFmtId="165" fontId="25" fillId="3" borderId="30" xfId="0" applyNumberFormat="1" applyFont="1" applyFill="1" applyBorder="1" applyAlignment="1" applyProtection="1">
      <alignment horizontal="right"/>
      <protection locked="0"/>
    </xf>
    <xf numFmtId="169" fontId="25" fillId="3" borderId="30" xfId="0" applyNumberFormat="1" applyFont="1" applyFill="1" applyBorder="1" applyAlignment="1" applyProtection="1">
      <alignment horizontal="right"/>
      <protection locked="0"/>
    </xf>
    <xf numFmtId="49" fontId="25" fillId="0" borderId="0" xfId="0" applyNumberFormat="1" applyFont="1" applyAlignment="1" applyProtection="1">
      <alignment horizontal="center"/>
      <protection hidden="1"/>
    </xf>
    <xf numFmtId="166" fontId="25" fillId="3" borderId="0" xfId="0" applyNumberFormat="1" applyFont="1" applyFill="1" applyBorder="1" applyAlignment="1" applyProtection="1">
      <alignment horizontal="right"/>
      <protection locked="0"/>
    </xf>
    <xf numFmtId="169" fontId="25" fillId="3" borderId="0" xfId="0" applyNumberFormat="1" applyFont="1" applyFill="1" applyBorder="1" applyAlignment="1" applyProtection="1">
      <alignment horizontal="right"/>
      <protection locked="0"/>
    </xf>
    <xf numFmtId="49" fontId="25" fillId="0" borderId="0" xfId="0" applyNumberFormat="1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left"/>
      <protection hidden="1"/>
    </xf>
    <xf numFmtId="165" fontId="25" fillId="6" borderId="23" xfId="0" applyNumberFormat="1" applyFont="1" applyFill="1" applyBorder="1" applyAlignment="1" applyProtection="1">
      <alignment horizontal="right"/>
      <protection hidden="1"/>
    </xf>
    <xf numFmtId="169" fontId="25" fillId="6" borderId="23" xfId="0" applyNumberFormat="1" applyFont="1" applyFill="1" applyBorder="1" applyAlignment="1" applyProtection="1">
      <alignment horizontal="right"/>
      <protection hidden="1"/>
    </xf>
    <xf numFmtId="0" fontId="25" fillId="6" borderId="22" xfId="0" applyFont="1" applyFill="1" applyBorder="1" applyAlignment="1" applyProtection="1">
      <alignment horizontal="center"/>
      <protection hidden="1"/>
    </xf>
    <xf numFmtId="0" fontId="25" fillId="0" borderId="0" xfId="0" applyFont="1" applyAlignment="1" applyProtection="1">
      <alignment horizontal="right"/>
      <protection hidden="1"/>
    </xf>
    <xf numFmtId="165" fontId="25" fillId="3" borderId="0" xfId="0" applyNumberFormat="1" applyFont="1" applyFill="1" applyBorder="1" applyAlignment="1" applyProtection="1">
      <alignment horizontal="right"/>
      <protection locked="0"/>
    </xf>
    <xf numFmtId="166" fontId="25" fillId="6" borderId="23" xfId="0" applyNumberFormat="1" applyFont="1" applyFill="1" applyBorder="1" applyAlignment="1" applyProtection="1">
      <alignment horizontal="right"/>
      <protection hidden="1"/>
    </xf>
    <xf numFmtId="0" fontId="35" fillId="0" borderId="0" xfId="0" applyFont="1" applyAlignment="1" applyProtection="1">
      <alignment horizontal="left"/>
      <protection hidden="1"/>
    </xf>
    <xf numFmtId="0" fontId="40" fillId="0" borderId="0" xfId="0" applyFont="1" applyProtection="1">
      <protection hidden="1"/>
    </xf>
    <xf numFmtId="0" fontId="35" fillId="11" borderId="37" xfId="0" applyFont="1" applyFill="1" applyBorder="1" applyAlignment="1" applyProtection="1">
      <alignment horizontal="center"/>
      <protection hidden="1"/>
    </xf>
    <xf numFmtId="0" fontId="35" fillId="11" borderId="38" xfId="0" applyFont="1" applyFill="1" applyBorder="1" applyAlignment="1" applyProtection="1">
      <alignment horizontal="center"/>
      <protection hidden="1"/>
    </xf>
    <xf numFmtId="0" fontId="35" fillId="11" borderId="54" xfId="0" applyFont="1" applyFill="1" applyBorder="1" applyAlignment="1" applyProtection="1">
      <alignment horizontal="center"/>
      <protection hidden="1"/>
    </xf>
    <xf numFmtId="0" fontId="23" fillId="0" borderId="0" xfId="0" quotePrefix="1" applyFont="1"/>
    <xf numFmtId="164" fontId="17" fillId="12" borderId="37" xfId="0" applyNumberFormat="1" applyFont="1" applyFill="1" applyBorder="1" applyAlignment="1" applyProtection="1">
      <alignment horizontal="right"/>
      <protection locked="0"/>
    </xf>
    <xf numFmtId="164" fontId="17" fillId="12" borderId="3" xfId="0" applyNumberFormat="1" applyFont="1" applyFill="1" applyBorder="1" applyAlignment="1" applyProtection="1">
      <alignment horizontal="right"/>
      <protection locked="0"/>
    </xf>
    <xf numFmtId="2" fontId="17" fillId="12" borderId="3" xfId="0" applyNumberFormat="1" applyFont="1" applyFill="1" applyBorder="1" applyAlignment="1" applyProtection="1">
      <alignment horizontal="right"/>
      <protection locked="0"/>
    </xf>
    <xf numFmtId="164" fontId="17" fillId="0" borderId="1" xfId="0" applyNumberFormat="1" applyFont="1" applyFill="1" applyBorder="1" applyAlignment="1">
      <alignment horizontal="left"/>
    </xf>
    <xf numFmtId="0" fontId="17" fillId="0" borderId="13" xfId="0" applyFont="1" applyFill="1" applyBorder="1" applyAlignment="1">
      <alignment horizontal="left"/>
    </xf>
    <xf numFmtId="0" fontId="21" fillId="0" borderId="39" xfId="0" applyFont="1" applyFill="1" applyBorder="1" applyAlignment="1">
      <alignment horizontal="center"/>
    </xf>
    <xf numFmtId="0" fontId="17" fillId="0" borderId="12" xfId="0" applyFont="1" applyFill="1" applyBorder="1" applyAlignment="1">
      <alignment horizontal="left"/>
    </xf>
    <xf numFmtId="0" fontId="21" fillId="0" borderId="13" xfId="0" applyFont="1" applyFill="1" applyBorder="1" applyAlignment="1">
      <alignment horizontal="center"/>
    </xf>
    <xf numFmtId="166" fontId="23" fillId="3" borderId="3" xfId="0" applyNumberFormat="1" applyFont="1" applyFill="1" applyBorder="1" applyProtection="1">
      <protection locked="0"/>
    </xf>
    <xf numFmtId="167" fontId="23" fillId="3" borderId="12" xfId="0" applyNumberFormat="1" applyFont="1" applyFill="1" applyBorder="1" applyProtection="1">
      <protection locked="0"/>
    </xf>
    <xf numFmtId="0" fontId="41" fillId="0" borderId="55" xfId="0" applyFont="1" applyBorder="1" applyAlignment="1" applyProtection="1">
      <alignment horizontal="center" vertical="center"/>
      <protection hidden="1"/>
    </xf>
    <xf numFmtId="0" fontId="41" fillId="0" borderId="85" xfId="0" applyFont="1" applyFill="1" applyBorder="1" applyAlignment="1" applyProtection="1">
      <alignment horizontal="center" vertical="center"/>
      <protection hidden="1"/>
    </xf>
    <xf numFmtId="0" fontId="41" fillId="0" borderId="53" xfId="0" applyFont="1" applyBorder="1" applyAlignment="1" applyProtection="1">
      <alignment horizontal="center" vertical="center"/>
      <protection hidden="1"/>
    </xf>
    <xf numFmtId="0" fontId="41" fillId="0" borderId="85" xfId="0" applyFont="1" applyBorder="1" applyAlignment="1" applyProtection="1">
      <alignment horizontal="center" vertical="center"/>
      <protection hidden="1"/>
    </xf>
    <xf numFmtId="0" fontId="41" fillId="0" borderId="52" xfId="0" applyFont="1" applyBorder="1" applyAlignment="1" applyProtection="1">
      <alignment horizontal="center" vertical="center"/>
      <protection hidden="1"/>
    </xf>
    <xf numFmtId="0" fontId="41" fillId="0" borderId="86" xfId="0" applyFont="1" applyBorder="1" applyAlignment="1" applyProtection="1">
      <alignment horizontal="center" vertical="center"/>
      <protection hidden="1"/>
    </xf>
    <xf numFmtId="168" fontId="41" fillId="0" borderId="20" xfId="0" applyNumberFormat="1" applyFont="1" applyFill="1" applyBorder="1" applyAlignment="1" applyProtection="1">
      <alignment horizontal="center" vertical="center"/>
      <protection hidden="1"/>
    </xf>
    <xf numFmtId="0" fontId="41" fillId="0" borderId="46" xfId="0" applyFont="1" applyFill="1" applyBorder="1" applyAlignment="1" applyProtection="1">
      <alignment horizontal="center" vertical="center"/>
      <protection hidden="1"/>
    </xf>
    <xf numFmtId="0" fontId="41" fillId="0" borderId="87" xfId="0" applyFont="1" applyBorder="1" applyAlignment="1" applyProtection="1">
      <alignment horizontal="center" vertical="center"/>
      <protection hidden="1"/>
    </xf>
    <xf numFmtId="0" fontId="41" fillId="0" borderId="46" xfId="0" applyFont="1" applyBorder="1" applyAlignment="1" applyProtection="1">
      <alignment horizontal="center" vertical="center"/>
      <protection hidden="1"/>
    </xf>
    <xf numFmtId="0" fontId="41" fillId="0" borderId="34" xfId="0" applyFont="1" applyBorder="1" applyAlignment="1" applyProtection="1">
      <alignment horizontal="center" vertical="center"/>
      <protection hidden="1"/>
    </xf>
    <xf numFmtId="0" fontId="41" fillId="0" borderId="3" xfId="0" applyFont="1" applyBorder="1" applyAlignment="1" applyProtection="1">
      <alignment horizontal="center" vertical="center"/>
      <protection hidden="1"/>
    </xf>
    <xf numFmtId="168" fontId="41" fillId="0" borderId="10" xfId="0" applyNumberFormat="1" applyFont="1" applyFill="1" applyBorder="1" applyAlignment="1" applyProtection="1">
      <alignment horizontal="center" vertical="center"/>
      <protection hidden="1"/>
    </xf>
    <xf numFmtId="0" fontId="41" fillId="0" borderId="42" xfId="0" applyFont="1" applyFill="1" applyBorder="1" applyAlignment="1" applyProtection="1">
      <alignment horizontal="center" vertical="center"/>
      <protection hidden="1"/>
    </xf>
    <xf numFmtId="0" fontId="41" fillId="0" borderId="88" xfId="0" applyFont="1" applyBorder="1" applyAlignment="1" applyProtection="1">
      <alignment horizontal="center" vertical="center"/>
      <protection hidden="1"/>
    </xf>
    <xf numFmtId="0" fontId="41" fillId="0" borderId="42" xfId="0" applyFont="1" applyBorder="1" applyAlignment="1" applyProtection="1">
      <alignment horizontal="center" vertical="center"/>
      <protection hidden="1"/>
    </xf>
    <xf numFmtId="0" fontId="41" fillId="0" borderId="39" xfId="0" applyFont="1" applyBorder="1" applyAlignment="1" applyProtection="1">
      <alignment horizontal="center" vertical="center"/>
      <protection hidden="1"/>
    </xf>
    <xf numFmtId="0" fontId="41" fillId="0" borderId="13" xfId="0" applyFont="1" applyBorder="1" applyAlignment="1" applyProtection="1">
      <alignment horizontal="center" vertical="center"/>
      <protection hidden="1"/>
    </xf>
    <xf numFmtId="0" fontId="41" fillId="0" borderId="38" xfId="0" applyFont="1" applyBorder="1" applyAlignment="1" applyProtection="1">
      <alignment horizontal="center" vertical="center"/>
      <protection hidden="1"/>
    </xf>
    <xf numFmtId="14" fontId="41" fillId="0" borderId="30" xfId="0" applyNumberFormat="1" applyFont="1" applyBorder="1" applyAlignment="1" applyProtection="1">
      <alignment horizontal="center" vertical="center"/>
      <protection hidden="1"/>
    </xf>
    <xf numFmtId="0" fontId="41" fillId="0" borderId="12" xfId="0" applyFont="1" applyBorder="1" applyAlignment="1" applyProtection="1">
      <alignment horizontal="center" vertical="center"/>
      <protection hidden="1"/>
    </xf>
    <xf numFmtId="0" fontId="41" fillId="0" borderId="14" xfId="0" applyFont="1" applyBorder="1" applyAlignment="1" applyProtection="1">
      <alignment horizontal="center" vertical="center"/>
      <protection hidden="1"/>
    </xf>
    <xf numFmtId="168" fontId="41" fillId="0" borderId="90" xfId="0" applyNumberFormat="1" applyFont="1" applyFill="1" applyBorder="1" applyAlignment="1" applyProtection="1">
      <alignment horizontal="center" vertical="center"/>
      <protection hidden="1"/>
    </xf>
    <xf numFmtId="0" fontId="41" fillId="0" borderId="47" xfId="0" applyFont="1" applyFill="1" applyBorder="1" applyAlignment="1" applyProtection="1">
      <alignment horizontal="center" vertical="center"/>
      <protection hidden="1"/>
    </xf>
    <xf numFmtId="0" fontId="41" fillId="0" borderId="91" xfId="0" applyFont="1" applyBorder="1" applyAlignment="1" applyProtection="1">
      <alignment horizontal="center" vertical="center"/>
      <protection hidden="1"/>
    </xf>
    <xf numFmtId="0" fontId="41" fillId="0" borderId="47" xfId="0" applyFont="1" applyBorder="1" applyAlignment="1" applyProtection="1">
      <alignment horizontal="center" vertical="center"/>
      <protection hidden="1"/>
    </xf>
    <xf numFmtId="0" fontId="41" fillId="0" borderId="33" xfId="0" applyFont="1" applyBorder="1" applyAlignment="1" applyProtection="1">
      <alignment horizontal="center" vertical="center"/>
      <protection hidden="1"/>
    </xf>
    <xf numFmtId="0" fontId="41" fillId="0" borderId="1" xfId="0" applyFont="1" applyBorder="1" applyAlignment="1" applyProtection="1">
      <alignment horizontal="center" vertical="center"/>
      <protection hidden="1"/>
    </xf>
    <xf numFmtId="0" fontId="41" fillId="0" borderId="37" xfId="0" applyFont="1" applyBorder="1" applyAlignment="1" applyProtection="1">
      <alignment horizontal="center" vertical="center"/>
      <protection hidden="1"/>
    </xf>
    <xf numFmtId="0" fontId="9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23" fillId="11" borderId="3" xfId="0" applyFont="1" applyFill="1" applyBorder="1" applyAlignment="1" applyProtection="1">
      <alignment horizontal="center"/>
      <protection hidden="1"/>
    </xf>
    <xf numFmtId="0" fontId="23" fillId="12" borderId="39" xfId="0" applyFont="1" applyFill="1" applyBorder="1" applyProtection="1">
      <protection locked="0" hidden="1"/>
    </xf>
    <xf numFmtId="164" fontId="34" fillId="11" borderId="52" xfId="0" applyNumberFormat="1" applyFont="1" applyFill="1" applyBorder="1" applyAlignment="1" applyProtection="1">
      <alignment horizontal="center"/>
      <protection hidden="1"/>
    </xf>
    <xf numFmtId="164" fontId="34" fillId="11" borderId="53" xfId="0" applyNumberFormat="1" applyFont="1" applyFill="1" applyBorder="1" applyAlignment="1" applyProtection="1">
      <alignment horizontal="center"/>
      <protection hidden="1"/>
    </xf>
    <xf numFmtId="0" fontId="41" fillId="0" borderId="87" xfId="0" quotePrefix="1" applyFont="1" applyBorder="1" applyAlignment="1" applyProtection="1">
      <alignment horizontal="center" vertical="center"/>
      <protection hidden="1"/>
    </xf>
    <xf numFmtId="168" fontId="41" fillId="0" borderId="2" xfId="0" applyNumberFormat="1" applyFont="1" applyBorder="1" applyAlignment="1" applyProtection="1">
      <alignment horizontal="center" vertical="center"/>
      <protection hidden="1"/>
    </xf>
    <xf numFmtId="0" fontId="41" fillId="0" borderId="34" xfId="0" quotePrefix="1" applyFont="1" applyBorder="1" applyAlignment="1" applyProtection="1">
      <alignment horizontal="center" vertical="center"/>
      <protection hidden="1"/>
    </xf>
    <xf numFmtId="164" fontId="41" fillId="0" borderId="34" xfId="0" applyNumberFormat="1" applyFont="1" applyBorder="1" applyAlignment="1" applyProtection="1">
      <alignment horizontal="center" vertical="center"/>
      <protection hidden="1"/>
    </xf>
    <xf numFmtId="0" fontId="34" fillId="0" borderId="0" xfId="0" applyFont="1" applyFill="1" applyBorder="1" applyAlignment="1" applyProtection="1">
      <alignment horizontal="center"/>
      <protection hidden="1"/>
    </xf>
    <xf numFmtId="0" fontId="34" fillId="0" borderId="0" xfId="0" applyFont="1" applyFill="1" applyBorder="1" applyAlignment="1" applyProtection="1">
      <alignment horizontal="left"/>
      <protection hidden="1"/>
    </xf>
    <xf numFmtId="164" fontId="34" fillId="0" borderId="0" xfId="0" applyNumberFormat="1" applyFont="1" applyFill="1" applyBorder="1" applyAlignment="1" applyProtection="1">
      <alignment horizontal="center"/>
      <protection hidden="1"/>
    </xf>
    <xf numFmtId="0" fontId="16" fillId="13" borderId="0" xfId="1" applyFill="1" applyAlignment="1">
      <alignment horizontal="center"/>
    </xf>
    <xf numFmtId="0" fontId="17" fillId="0" borderId="14" xfId="0" applyFont="1" applyBorder="1" applyAlignment="1">
      <alignment horizontal="center"/>
    </xf>
    <xf numFmtId="0" fontId="17" fillId="0" borderId="39" xfId="0" applyFont="1" applyBorder="1" applyAlignment="1">
      <alignment horizontal="center"/>
    </xf>
    <xf numFmtId="0" fontId="17" fillId="0" borderId="3" xfId="0" applyFont="1" applyBorder="1" applyAlignment="1">
      <alignment horizontal="right"/>
    </xf>
    <xf numFmtId="0" fontId="17" fillId="0" borderId="12" xfId="0" applyFont="1" applyBorder="1" applyAlignment="1">
      <alignment horizontal="right"/>
    </xf>
    <xf numFmtId="170" fontId="17" fillId="0" borderId="3" xfId="0" applyNumberFormat="1" applyFont="1" applyFill="1" applyBorder="1" applyAlignment="1" applyProtection="1">
      <alignment horizontal="center"/>
    </xf>
    <xf numFmtId="170" fontId="17" fillId="0" borderId="12" xfId="0" applyNumberFormat="1" applyFont="1" applyFill="1" applyBorder="1" applyAlignment="1" applyProtection="1">
      <alignment horizontal="center"/>
    </xf>
    <xf numFmtId="170" fontId="17" fillId="0" borderId="13" xfId="0" applyNumberFormat="1" applyFont="1" applyFill="1" applyBorder="1" applyAlignment="1" applyProtection="1">
      <alignment horizontal="center"/>
    </xf>
    <xf numFmtId="0" fontId="17" fillId="0" borderId="39" xfId="0" applyFont="1" applyBorder="1" applyAlignment="1">
      <alignment horizontal="left"/>
    </xf>
    <xf numFmtId="170" fontId="17" fillId="12" borderId="3" xfId="0" applyNumberFormat="1" applyFont="1" applyFill="1" applyBorder="1" applyAlignment="1" applyProtection="1">
      <alignment horizontal="center"/>
      <protection locked="0"/>
    </xf>
    <xf numFmtId="170" fontId="17" fillId="12" borderId="12" xfId="0" applyNumberFormat="1" applyFont="1" applyFill="1" applyBorder="1" applyAlignment="1" applyProtection="1">
      <alignment horizontal="center"/>
      <protection locked="0"/>
    </xf>
    <xf numFmtId="170" fontId="17" fillId="12" borderId="13" xfId="0" applyNumberFormat="1" applyFont="1" applyFill="1" applyBorder="1" applyAlignment="1" applyProtection="1">
      <alignment horizontal="center"/>
      <protection locked="0"/>
    </xf>
    <xf numFmtId="0" fontId="17" fillId="0" borderId="14" xfId="0" applyFont="1" applyFill="1" applyBorder="1" applyAlignment="1">
      <alignment horizontal="left"/>
    </xf>
    <xf numFmtId="0" fontId="17" fillId="0" borderId="1" xfId="0" applyFont="1" applyFill="1" applyBorder="1" applyAlignment="1">
      <alignment horizontal="left"/>
    </xf>
    <xf numFmtId="170" fontId="19" fillId="0" borderId="3" xfId="0" applyNumberFormat="1" applyFont="1" applyFill="1" applyBorder="1" applyAlignment="1" applyProtection="1">
      <alignment horizontal="center"/>
    </xf>
    <xf numFmtId="170" fontId="19" fillId="0" borderId="12" xfId="0" applyNumberFormat="1" applyFont="1" applyFill="1" applyBorder="1" applyAlignment="1" applyProtection="1">
      <alignment horizontal="center"/>
    </xf>
    <xf numFmtId="170" fontId="19" fillId="0" borderId="13" xfId="0" applyNumberFormat="1" applyFont="1" applyFill="1" applyBorder="1" applyAlignment="1" applyProtection="1">
      <alignment horizontal="center"/>
    </xf>
    <xf numFmtId="0" fontId="20" fillId="0" borderId="0" xfId="0" applyFont="1" applyAlignment="1">
      <alignment horizontal="left"/>
    </xf>
    <xf numFmtId="0" fontId="17" fillId="0" borderId="30" xfId="0" applyFont="1" applyBorder="1" applyAlignment="1">
      <alignment horizontal="center"/>
    </xf>
    <xf numFmtId="0" fontId="16" fillId="8" borderId="0" xfId="1" applyFill="1" applyBorder="1" applyAlignment="1">
      <alignment horizontal="center" vertical="center"/>
    </xf>
    <xf numFmtId="0" fontId="18" fillId="12" borderId="39" xfId="0" applyFont="1" applyFill="1" applyBorder="1" applyAlignment="1" applyProtection="1">
      <alignment horizontal="center"/>
      <protection locked="0"/>
    </xf>
    <xf numFmtId="0" fontId="18" fillId="12" borderId="3" xfId="0" applyFont="1" applyFill="1" applyBorder="1" applyAlignment="1" applyProtection="1">
      <alignment horizontal="center"/>
      <protection locked="0"/>
    </xf>
    <xf numFmtId="0" fontId="17" fillId="0" borderId="12" xfId="0" applyFont="1" applyBorder="1" applyAlignment="1">
      <alignment horizontal="center"/>
    </xf>
    <xf numFmtId="0" fontId="18" fillId="11" borderId="39" xfId="0" applyFont="1" applyFill="1" applyBorder="1" applyAlignment="1">
      <alignment horizontal="center" vertical="center"/>
    </xf>
    <xf numFmtId="174" fontId="17" fillId="12" borderId="38" xfId="0" applyNumberFormat="1" applyFont="1" applyFill="1" applyBorder="1" applyAlignment="1" applyProtection="1">
      <alignment horizontal="center"/>
      <protection locked="0"/>
    </xf>
    <xf numFmtId="174" fontId="17" fillId="12" borderId="2" xfId="0" applyNumberFormat="1" applyFont="1" applyFill="1" applyBorder="1" applyAlignment="1" applyProtection="1">
      <alignment horizontal="center"/>
      <protection locked="0"/>
    </xf>
    <xf numFmtId="0" fontId="17" fillId="0" borderId="3" xfId="0" applyFont="1" applyBorder="1" applyAlignment="1">
      <alignment horizontal="left"/>
    </xf>
    <xf numFmtId="0" fontId="17" fillId="0" borderId="12" xfId="0" applyFont="1" applyBorder="1" applyAlignment="1">
      <alignment horizontal="left"/>
    </xf>
    <xf numFmtId="0" fontId="17" fillId="0" borderId="13" xfId="0" applyFont="1" applyBorder="1" applyAlignment="1">
      <alignment horizontal="left"/>
    </xf>
    <xf numFmtId="0" fontId="18" fillId="11" borderId="37" xfId="0" applyFont="1" applyFill="1" applyBorder="1" applyAlignment="1">
      <alignment horizontal="center" vertical="center"/>
    </xf>
    <xf numFmtId="0" fontId="18" fillId="11" borderId="14" xfId="0" applyFont="1" applyFill="1" applyBorder="1" applyAlignment="1">
      <alignment horizontal="center" vertical="center"/>
    </xf>
    <xf numFmtId="0" fontId="18" fillId="11" borderId="1" xfId="0" applyFont="1" applyFill="1" applyBorder="1" applyAlignment="1">
      <alignment horizontal="center" vertical="center"/>
    </xf>
    <xf numFmtId="0" fontId="18" fillId="11" borderId="38" xfId="0" applyFont="1" applyFill="1" applyBorder="1" applyAlignment="1">
      <alignment horizontal="center" vertical="center"/>
    </xf>
    <xf numFmtId="0" fontId="18" fillId="11" borderId="30" xfId="0" applyFont="1" applyFill="1" applyBorder="1" applyAlignment="1">
      <alignment horizontal="center" vertical="center"/>
    </xf>
    <xf numFmtId="0" fontId="18" fillId="11" borderId="2" xfId="0" applyFont="1" applyFill="1" applyBorder="1" applyAlignment="1">
      <alignment horizontal="center" vertical="center"/>
    </xf>
    <xf numFmtId="0" fontId="18" fillId="11" borderId="39" xfId="0" applyFont="1" applyFill="1" applyBorder="1" applyAlignment="1" applyProtection="1">
      <alignment horizontal="center" vertical="center"/>
    </xf>
    <xf numFmtId="0" fontId="14" fillId="0" borderId="39" xfId="0" applyFont="1" applyBorder="1" applyAlignment="1">
      <alignment horizontal="center"/>
    </xf>
    <xf numFmtId="0" fontId="15" fillId="0" borderId="39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39" xfId="0" applyFont="1" applyBorder="1" applyAlignment="1">
      <alignment horizontal="center"/>
    </xf>
    <xf numFmtId="170" fontId="17" fillId="12" borderId="54" xfId="0" applyNumberFormat="1" applyFont="1" applyFill="1" applyBorder="1" applyAlignment="1" applyProtection="1">
      <alignment horizontal="center"/>
      <protection locked="0"/>
    </xf>
    <xf numFmtId="170" fontId="17" fillId="12" borderId="0" xfId="0" applyNumberFormat="1" applyFont="1" applyFill="1" applyBorder="1" applyAlignment="1" applyProtection="1">
      <alignment horizontal="center"/>
      <protection locked="0"/>
    </xf>
    <xf numFmtId="170" fontId="17" fillId="12" borderId="50" xfId="0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164" fontId="17" fillId="12" borderId="3" xfId="0" applyNumberFormat="1" applyFont="1" applyFill="1" applyBorder="1" applyAlignment="1" applyProtection="1">
      <alignment horizontal="right"/>
      <protection locked="0"/>
    </xf>
    <xf numFmtId="164" fontId="17" fillId="12" borderId="12" xfId="0" applyNumberFormat="1" applyFont="1" applyFill="1" applyBorder="1" applyAlignment="1" applyProtection="1">
      <alignment horizontal="right"/>
      <protection locked="0"/>
    </xf>
    <xf numFmtId="0" fontId="17" fillId="0" borderId="12" xfId="0" applyFont="1" applyFill="1" applyBorder="1" applyAlignment="1">
      <alignment horizontal="left"/>
    </xf>
    <xf numFmtId="0" fontId="17" fillId="0" borderId="13" xfId="0" applyFont="1" applyFill="1" applyBorder="1" applyAlignment="1">
      <alignment horizontal="left"/>
    </xf>
    <xf numFmtId="164" fontId="17" fillId="12" borderId="37" xfId="0" applyNumberFormat="1" applyFont="1" applyFill="1" applyBorder="1" applyAlignment="1" applyProtection="1">
      <alignment horizontal="right"/>
      <protection locked="0"/>
    </xf>
    <xf numFmtId="164" fontId="17" fillId="12" borderId="14" xfId="0" applyNumberFormat="1" applyFont="1" applyFill="1" applyBorder="1" applyAlignment="1" applyProtection="1">
      <alignment horizontal="right"/>
      <protection locked="0"/>
    </xf>
    <xf numFmtId="2" fontId="19" fillId="0" borderId="3" xfId="0" applyNumberFormat="1" applyFont="1" applyFill="1" applyBorder="1" applyAlignment="1" applyProtection="1">
      <alignment horizontal="right"/>
    </xf>
    <xf numFmtId="2" fontId="19" fillId="0" borderId="12" xfId="0" applyNumberFormat="1" applyFont="1" applyFill="1" applyBorder="1" applyAlignment="1" applyProtection="1">
      <alignment horizontal="right"/>
    </xf>
    <xf numFmtId="170" fontId="19" fillId="0" borderId="12" xfId="0" applyNumberFormat="1" applyFont="1" applyFill="1" applyBorder="1" applyAlignment="1" applyProtection="1">
      <alignment horizontal="left"/>
    </xf>
    <xf numFmtId="170" fontId="19" fillId="0" borderId="13" xfId="0" applyNumberFormat="1" applyFont="1" applyFill="1" applyBorder="1" applyAlignment="1" applyProtection="1">
      <alignment horizontal="left"/>
    </xf>
    <xf numFmtId="2" fontId="19" fillId="0" borderId="38" xfId="0" applyNumberFormat="1" applyFont="1" applyFill="1" applyBorder="1" applyAlignment="1" applyProtection="1">
      <alignment horizontal="right"/>
    </xf>
    <xf numFmtId="2" fontId="19" fillId="0" borderId="30" xfId="0" applyNumberFormat="1" applyFont="1" applyFill="1" applyBorder="1" applyAlignment="1" applyProtection="1">
      <alignment horizontal="right"/>
    </xf>
    <xf numFmtId="0" fontId="19" fillId="0" borderId="30" xfId="0" applyFont="1" applyFill="1" applyBorder="1" applyAlignment="1">
      <alignment horizontal="left"/>
    </xf>
    <xf numFmtId="0" fontId="19" fillId="0" borderId="2" xfId="0" applyFont="1" applyFill="1" applyBorder="1" applyAlignment="1">
      <alignment horizontal="left"/>
    </xf>
    <xf numFmtId="2" fontId="17" fillId="12" borderId="38" xfId="0" applyNumberFormat="1" applyFont="1" applyFill="1" applyBorder="1" applyAlignment="1" applyProtection="1">
      <alignment horizontal="right"/>
      <protection locked="0"/>
    </xf>
    <xf numFmtId="2" fontId="17" fillId="12" borderId="30" xfId="0" applyNumberFormat="1" applyFont="1" applyFill="1" applyBorder="1" applyAlignment="1" applyProtection="1">
      <alignment horizontal="right"/>
      <protection locked="0"/>
    </xf>
    <xf numFmtId="0" fontId="17" fillId="0" borderId="30" xfId="0" applyFont="1" applyFill="1" applyBorder="1" applyAlignment="1">
      <alignment horizontal="left"/>
    </xf>
    <xf numFmtId="0" fontId="17" fillId="0" borderId="2" xfId="0" applyFont="1" applyFill="1" applyBorder="1" applyAlignment="1">
      <alignment horizontal="left"/>
    </xf>
    <xf numFmtId="164" fontId="17" fillId="12" borderId="39" xfId="0" applyNumberFormat="1" applyFont="1" applyFill="1" applyBorder="1" applyAlignment="1" applyProtection="1">
      <alignment horizontal="right"/>
      <protection locked="0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171" fontId="14" fillId="0" borderId="0" xfId="0" applyNumberFormat="1" applyFont="1" applyAlignment="1">
      <alignment horizontal="left"/>
    </xf>
    <xf numFmtId="172" fontId="19" fillId="0" borderId="3" xfId="0" applyNumberFormat="1" applyFont="1" applyBorder="1" applyAlignment="1">
      <alignment horizontal="right"/>
    </xf>
    <xf numFmtId="172" fontId="19" fillId="0" borderId="12" xfId="0" applyNumberFormat="1" applyFont="1" applyBorder="1" applyAlignment="1">
      <alignment horizontal="right"/>
    </xf>
    <xf numFmtId="40" fontId="19" fillId="0" borderId="12" xfId="0" applyNumberFormat="1" applyFont="1" applyBorder="1" applyAlignment="1">
      <alignment horizontal="left"/>
    </xf>
    <xf numFmtId="40" fontId="19" fillId="0" borderId="13" xfId="0" applyNumberFormat="1" applyFont="1" applyBorder="1" applyAlignment="1">
      <alignment horizontal="left"/>
    </xf>
    <xf numFmtId="173" fontId="17" fillId="12" borderId="39" xfId="0" applyNumberFormat="1" applyFont="1" applyFill="1" applyBorder="1" applyAlignment="1" applyProtection="1">
      <alignment horizontal="right"/>
      <protection locked="0"/>
    </xf>
    <xf numFmtId="173" fontId="17" fillId="12" borderId="3" xfId="0" applyNumberFormat="1" applyFont="1" applyFill="1" applyBorder="1" applyAlignment="1" applyProtection="1">
      <alignment horizontal="right"/>
      <protection locked="0"/>
    </xf>
    <xf numFmtId="0" fontId="26" fillId="0" borderId="21" xfId="0" applyFont="1" applyFill="1" applyBorder="1" applyAlignment="1">
      <alignment horizontal="center"/>
    </xf>
    <xf numFmtId="0" fontId="26" fillId="0" borderId="22" xfId="0" applyFont="1" applyFill="1" applyBorder="1" applyAlignment="1">
      <alignment horizontal="center"/>
    </xf>
    <xf numFmtId="0" fontId="16" fillId="8" borderId="0" xfId="1" applyFill="1" applyBorder="1" applyAlignment="1" applyProtection="1">
      <alignment horizontal="center"/>
      <protection hidden="1"/>
    </xf>
    <xf numFmtId="0" fontId="27" fillId="6" borderId="21" xfId="0" applyFont="1" applyFill="1" applyBorder="1" applyAlignment="1" applyProtection="1">
      <alignment horizontal="center"/>
      <protection hidden="1"/>
    </xf>
    <xf numFmtId="0" fontId="27" fillId="6" borderId="22" xfId="0" applyFont="1" applyFill="1" applyBorder="1" applyAlignment="1" applyProtection="1">
      <alignment horizontal="center"/>
      <protection hidden="1"/>
    </xf>
    <xf numFmtId="0" fontId="26" fillId="12" borderId="40" xfId="0" applyFont="1" applyFill="1" applyBorder="1" applyAlignment="1" applyProtection="1">
      <alignment horizontal="center"/>
      <protection locked="0" hidden="1"/>
    </xf>
    <xf numFmtId="0" fontId="26" fillId="12" borderId="41" xfId="0" applyFont="1" applyFill="1" applyBorder="1" applyAlignment="1" applyProtection="1">
      <alignment horizontal="center"/>
      <protection locked="0" hidden="1"/>
    </xf>
    <xf numFmtId="0" fontId="16" fillId="8" borderId="0" xfId="1" applyFill="1" applyAlignment="1">
      <alignment horizontal="center" vertical="center"/>
    </xf>
    <xf numFmtId="164" fontId="34" fillId="11" borderId="61" xfId="0" applyNumberFormat="1" applyFont="1" applyFill="1" applyBorder="1" applyAlignment="1" applyProtection="1">
      <alignment horizontal="center"/>
      <protection hidden="1"/>
    </xf>
    <xf numFmtId="164" fontId="34" fillId="11" borderId="19" xfId="0" applyNumberFormat="1" applyFont="1" applyFill="1" applyBorder="1" applyAlignment="1" applyProtection="1">
      <alignment horizontal="center"/>
      <protection hidden="1"/>
    </xf>
    <xf numFmtId="0" fontId="34" fillId="11" borderId="3" xfId="0" applyFont="1" applyFill="1" applyBorder="1" applyAlignment="1" applyProtection="1">
      <alignment horizontal="center"/>
    </xf>
    <xf numFmtId="0" fontId="34" fillId="11" borderId="57" xfId="0" applyFont="1" applyFill="1" applyBorder="1" applyAlignment="1" applyProtection="1">
      <alignment horizontal="center"/>
    </xf>
    <xf numFmtId="164" fontId="34" fillId="11" borderId="3" xfId="0" applyNumberFormat="1" applyFont="1" applyFill="1" applyBorder="1" applyAlignment="1" applyProtection="1">
      <alignment horizontal="center"/>
      <protection hidden="1"/>
    </xf>
    <xf numFmtId="164" fontId="34" fillId="11" borderId="57" xfId="0" applyNumberFormat="1" applyFont="1" applyFill="1" applyBorder="1" applyAlignment="1" applyProtection="1">
      <alignment horizontal="center"/>
      <protection hidden="1"/>
    </xf>
    <xf numFmtId="0" fontId="34" fillId="11" borderId="3" xfId="0" applyFont="1" applyFill="1" applyBorder="1" applyAlignment="1" applyProtection="1">
      <alignment horizontal="left"/>
      <protection hidden="1"/>
    </xf>
    <xf numFmtId="0" fontId="34" fillId="11" borderId="13" xfId="0" applyFont="1" applyFill="1" applyBorder="1" applyAlignment="1" applyProtection="1">
      <alignment horizontal="left"/>
      <protection hidden="1"/>
    </xf>
    <xf numFmtId="0" fontId="34" fillId="11" borderId="12" xfId="0" applyFont="1" applyFill="1" applyBorder="1" applyAlignment="1" applyProtection="1">
      <alignment horizontal="left"/>
      <protection hidden="1"/>
    </xf>
    <xf numFmtId="0" fontId="34" fillId="11" borderId="58" xfId="0" applyFont="1" applyFill="1" applyBorder="1" applyAlignment="1" applyProtection="1">
      <alignment horizontal="center"/>
      <protection hidden="1"/>
    </xf>
    <xf numFmtId="0" fontId="34" fillId="11" borderId="14" xfId="0" applyFont="1" applyFill="1" applyBorder="1" applyAlignment="1" applyProtection="1">
      <alignment horizontal="center"/>
      <protection hidden="1"/>
    </xf>
    <xf numFmtId="0" fontId="34" fillId="11" borderId="1" xfId="0" applyFont="1" applyFill="1" applyBorder="1" applyAlignment="1" applyProtection="1">
      <alignment horizontal="center"/>
      <protection hidden="1"/>
    </xf>
    <xf numFmtId="0" fontId="34" fillId="11" borderId="59" xfId="0" applyFont="1" applyFill="1" applyBorder="1" applyAlignment="1" applyProtection="1">
      <alignment horizontal="center"/>
      <protection hidden="1"/>
    </xf>
    <xf numFmtId="0" fontId="34" fillId="11" borderId="18" xfId="0" applyFont="1" applyFill="1" applyBorder="1" applyAlignment="1" applyProtection="1">
      <alignment horizontal="center"/>
      <protection hidden="1"/>
    </xf>
    <xf numFmtId="0" fontId="34" fillId="11" borderId="60" xfId="0" applyFont="1" applyFill="1" applyBorder="1" applyAlignment="1" applyProtection="1">
      <alignment horizontal="center"/>
      <protection hidden="1"/>
    </xf>
    <xf numFmtId="0" fontId="34" fillId="11" borderId="17" xfId="0" applyFont="1" applyFill="1" applyBorder="1" applyAlignment="1" applyProtection="1">
      <alignment horizontal="left"/>
      <protection hidden="1"/>
    </xf>
    <xf numFmtId="0" fontId="34" fillId="11" borderId="16" xfId="0" applyFont="1" applyFill="1" applyBorder="1" applyAlignment="1" applyProtection="1">
      <alignment horizontal="left"/>
      <protection hidden="1"/>
    </xf>
    <xf numFmtId="168" fontId="9" fillId="0" borderId="54" xfId="0" applyNumberFormat="1" applyFont="1" applyFill="1" applyBorder="1" applyAlignment="1" applyProtection="1">
      <alignment horizontal="center"/>
      <protection hidden="1"/>
    </xf>
    <xf numFmtId="168" fontId="9" fillId="0" borderId="50" xfId="0" applyNumberFormat="1" applyFont="1" applyFill="1" applyBorder="1" applyAlignment="1" applyProtection="1">
      <alignment horizontal="center"/>
      <protection hidden="1"/>
    </xf>
    <xf numFmtId="168" fontId="9" fillId="0" borderId="38" xfId="0" applyNumberFormat="1" applyFont="1" applyFill="1" applyBorder="1" applyAlignment="1" applyProtection="1">
      <alignment horizontal="center"/>
      <protection hidden="1"/>
    </xf>
    <xf numFmtId="168" fontId="9" fillId="0" borderId="2" xfId="0" applyNumberFormat="1" applyFont="1" applyFill="1" applyBorder="1" applyAlignment="1" applyProtection="1">
      <alignment horizontal="center"/>
      <protection hidden="1"/>
    </xf>
    <xf numFmtId="0" fontId="9" fillId="0" borderId="14" xfId="0" applyFont="1" applyBorder="1" applyAlignment="1" applyProtection="1">
      <alignment horizontal="center"/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41" fillId="0" borderId="63" xfId="0" applyFont="1" applyBorder="1" applyAlignment="1" applyProtection="1">
      <alignment horizontal="center" vertical="center"/>
      <protection hidden="1"/>
    </xf>
    <xf numFmtId="0" fontId="41" fillId="0" borderId="16" xfId="0" applyFont="1" applyBorder="1" applyAlignment="1" applyProtection="1">
      <alignment horizontal="center" vertical="center"/>
      <protection hidden="1"/>
    </xf>
    <xf numFmtId="168" fontId="41" fillId="0" borderId="82" xfId="0" applyNumberFormat="1" applyFont="1" applyFill="1" applyBorder="1" applyAlignment="1" applyProtection="1">
      <alignment horizontal="center" vertical="center" wrapText="1"/>
      <protection hidden="1"/>
    </xf>
    <xf numFmtId="168" fontId="41" fillId="0" borderId="15" xfId="0" applyNumberFormat="1" applyFont="1" applyFill="1" applyBorder="1" applyAlignment="1" applyProtection="1">
      <alignment horizontal="center" vertical="center" wrapText="1"/>
      <protection hidden="1"/>
    </xf>
    <xf numFmtId="0" fontId="41" fillId="0" borderId="83" xfId="0" applyFont="1" applyFill="1" applyBorder="1" applyAlignment="1" applyProtection="1">
      <alignment horizontal="center" vertical="center"/>
      <protection hidden="1"/>
    </xf>
    <xf numFmtId="0" fontId="41" fillId="0" borderId="56" xfId="0" applyFont="1" applyFill="1" applyBorder="1" applyAlignment="1" applyProtection="1">
      <alignment horizontal="center" vertical="center"/>
      <protection hidden="1"/>
    </xf>
    <xf numFmtId="0" fontId="41" fillId="0" borderId="83" xfId="0" applyFont="1" applyBorder="1" applyAlignment="1" applyProtection="1">
      <alignment horizontal="center" vertical="center"/>
      <protection hidden="1"/>
    </xf>
    <xf numFmtId="0" fontId="41" fillId="0" borderId="55" xfId="0" applyFont="1" applyBorder="1" applyAlignment="1" applyProtection="1">
      <alignment horizontal="center" vertical="center"/>
      <protection hidden="1"/>
    </xf>
    <xf numFmtId="0" fontId="41" fillId="0" borderId="56" xfId="0" applyFont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14" fontId="23" fillId="3" borderId="12" xfId="0" applyNumberFormat="1" applyFont="1" applyFill="1" applyBorder="1" applyAlignment="1" applyProtection="1">
      <alignment horizontal="center"/>
      <protection locked="0"/>
    </xf>
    <xf numFmtId="14" fontId="23" fillId="3" borderId="13" xfId="0" applyNumberFormat="1" applyFont="1" applyFill="1" applyBorder="1" applyAlignment="1" applyProtection="1">
      <alignment horizontal="center"/>
      <protection locked="0"/>
    </xf>
    <xf numFmtId="0" fontId="23" fillId="3" borderId="3" xfId="0" applyFont="1" applyFill="1" applyBorder="1" applyAlignment="1" applyProtection="1">
      <alignment horizontal="center"/>
      <protection locked="0"/>
    </xf>
    <xf numFmtId="0" fontId="23" fillId="3" borderId="12" xfId="0" applyFont="1" applyFill="1" applyBorder="1" applyAlignment="1" applyProtection="1">
      <alignment horizontal="center"/>
      <protection locked="0"/>
    </xf>
    <xf numFmtId="0" fontId="23" fillId="3" borderId="13" xfId="0" applyFont="1" applyFill="1" applyBorder="1" applyAlignment="1" applyProtection="1">
      <alignment horizontal="center"/>
      <protection locked="0"/>
    </xf>
    <xf numFmtId="0" fontId="23" fillId="11" borderId="39" xfId="0" applyFont="1" applyFill="1" applyBorder="1" applyAlignment="1" applyProtection="1">
      <alignment horizontal="center"/>
      <protection hidden="1"/>
    </xf>
    <xf numFmtId="0" fontId="41" fillId="0" borderId="52" xfId="0" applyFont="1" applyBorder="1" applyAlignment="1" applyProtection="1">
      <alignment horizontal="center" vertical="center"/>
      <protection hidden="1"/>
    </xf>
    <xf numFmtId="0" fontId="41" fillId="0" borderId="89" xfId="0" applyFont="1" applyBorder="1" applyAlignment="1" applyProtection="1">
      <alignment horizontal="center" vertical="center"/>
      <protection hidden="1"/>
    </xf>
    <xf numFmtId="0" fontId="41" fillId="0" borderId="17" xfId="0" applyFont="1" applyBorder="1" applyAlignment="1" applyProtection="1">
      <alignment horizontal="center" vertical="center"/>
      <protection hidden="1"/>
    </xf>
    <xf numFmtId="0" fontId="23" fillId="11" borderId="3" xfId="0" applyFont="1" applyFill="1" applyBorder="1" applyAlignment="1" applyProtection="1">
      <alignment horizontal="center"/>
    </xf>
    <xf numFmtId="0" fontId="23" fillId="11" borderId="12" xfId="0" applyFont="1" applyFill="1" applyBorder="1" applyAlignment="1" applyProtection="1">
      <alignment horizontal="center"/>
    </xf>
    <xf numFmtId="0" fontId="23" fillId="11" borderId="57" xfId="0" applyFont="1" applyFill="1" applyBorder="1" applyAlignment="1" applyProtection="1">
      <alignment horizontal="center"/>
    </xf>
    <xf numFmtId="168" fontId="23" fillId="11" borderId="37" xfId="0" applyNumberFormat="1" applyFont="1" applyFill="1" applyBorder="1" applyAlignment="1" applyProtection="1">
      <alignment horizontal="center"/>
      <protection hidden="1"/>
    </xf>
    <xf numFmtId="168" fontId="23" fillId="11" borderId="14" xfId="0" applyNumberFormat="1" applyFont="1" applyFill="1" applyBorder="1" applyAlignment="1" applyProtection="1">
      <alignment horizontal="center"/>
      <protection hidden="1"/>
    </xf>
    <xf numFmtId="168" fontId="23" fillId="11" borderId="48" xfId="0" applyNumberFormat="1" applyFont="1" applyFill="1" applyBorder="1" applyAlignment="1" applyProtection="1">
      <alignment horizontal="center"/>
      <protection hidden="1"/>
    </xf>
    <xf numFmtId="168" fontId="23" fillId="11" borderId="54" xfId="0" applyNumberFormat="1" applyFont="1" applyFill="1" applyBorder="1" applyAlignment="1" applyProtection="1">
      <alignment horizontal="center"/>
      <protection hidden="1"/>
    </xf>
    <xf numFmtId="168" fontId="23" fillId="11" borderId="0" xfId="0" applyNumberFormat="1" applyFont="1" applyFill="1" applyBorder="1" applyAlignment="1" applyProtection="1">
      <alignment horizontal="center"/>
      <protection hidden="1"/>
    </xf>
    <xf numFmtId="168" fontId="23" fillId="11" borderId="9" xfId="0" applyNumberFormat="1" applyFont="1" applyFill="1" applyBorder="1" applyAlignment="1" applyProtection="1">
      <alignment horizontal="center"/>
      <protection hidden="1"/>
    </xf>
    <xf numFmtId="168" fontId="36" fillId="11" borderId="61" xfId="0" applyNumberFormat="1" applyFont="1" applyFill="1" applyBorder="1" applyAlignment="1" applyProtection="1">
      <alignment horizontal="center"/>
      <protection hidden="1"/>
    </xf>
    <xf numFmtId="168" fontId="36" fillId="11" borderId="18" xfId="0" applyNumberFormat="1" applyFont="1" applyFill="1" applyBorder="1" applyAlignment="1" applyProtection="1">
      <alignment horizontal="center"/>
      <protection hidden="1"/>
    </xf>
    <xf numFmtId="168" fontId="36" fillId="11" borderId="19" xfId="0" applyNumberFormat="1" applyFont="1" applyFill="1" applyBorder="1" applyAlignment="1" applyProtection="1">
      <alignment horizontal="center"/>
      <protection hidden="1"/>
    </xf>
    <xf numFmtId="0" fontId="34" fillId="11" borderId="62" xfId="0" applyFont="1" applyFill="1" applyBorder="1" applyAlignment="1" applyProtection="1">
      <alignment horizontal="center"/>
      <protection hidden="1"/>
    </xf>
    <xf numFmtId="0" fontId="34" fillId="11" borderId="63" xfId="0" applyFont="1" applyFill="1" applyBorder="1" applyAlignment="1" applyProtection="1">
      <alignment horizontal="center"/>
      <protection hidden="1"/>
    </xf>
    <xf numFmtId="164" fontId="34" fillId="11" borderId="13" xfId="0" applyNumberFormat="1" applyFont="1" applyFill="1" applyBorder="1" applyAlignment="1" applyProtection="1">
      <alignment horizontal="center"/>
      <protection hidden="1"/>
    </xf>
    <xf numFmtId="164" fontId="34" fillId="11" borderId="12" xfId="0" applyNumberFormat="1" applyFont="1" applyFill="1" applyBorder="1" applyAlignment="1" applyProtection="1">
      <alignment horizontal="center"/>
      <protection hidden="1"/>
    </xf>
    <xf numFmtId="0" fontId="41" fillId="0" borderId="84" xfId="0" applyFont="1" applyBorder="1" applyAlignment="1" applyProtection="1">
      <alignment horizontal="center" vertical="center"/>
      <protection hidden="1"/>
    </xf>
    <xf numFmtId="168" fontId="9" fillId="0" borderId="37" xfId="0" applyNumberFormat="1" applyFont="1" applyFill="1" applyBorder="1" applyAlignment="1" applyProtection="1">
      <alignment horizontal="center"/>
      <protection hidden="1"/>
    </xf>
    <xf numFmtId="168" fontId="9" fillId="0" borderId="1" xfId="0" applyNumberFormat="1" applyFont="1" applyFill="1" applyBorder="1" applyAlignment="1" applyProtection="1">
      <alignment horizontal="center"/>
      <protection hidden="1"/>
    </xf>
    <xf numFmtId="0" fontId="17" fillId="0" borderId="65" xfId="0" applyFont="1" applyBorder="1" applyAlignment="1">
      <alignment horizontal="center" vertical="center"/>
    </xf>
    <xf numFmtId="0" fontId="17" fillId="0" borderId="67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166" fontId="17" fillId="6" borderId="14" xfId="0" applyNumberFormat="1" applyFont="1" applyFill="1" applyBorder="1" applyAlignment="1">
      <alignment horizontal="center" vertical="center"/>
    </xf>
    <xf numFmtId="166" fontId="17" fillId="6" borderId="28" xfId="0" applyNumberFormat="1" applyFont="1" applyFill="1" applyBorder="1" applyAlignment="1">
      <alignment horizontal="center" vertical="center"/>
    </xf>
    <xf numFmtId="175" fontId="17" fillId="6" borderId="14" xfId="0" applyNumberFormat="1" applyFont="1" applyFill="1" applyBorder="1" applyAlignment="1">
      <alignment horizontal="center" vertical="center"/>
    </xf>
    <xf numFmtId="175" fontId="17" fillId="6" borderId="28" xfId="0" applyNumberFormat="1" applyFont="1" applyFill="1" applyBorder="1" applyAlignment="1">
      <alignment horizontal="center" vertical="center"/>
    </xf>
    <xf numFmtId="0" fontId="17" fillId="0" borderId="68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66" xfId="0" applyFont="1" applyBorder="1" applyAlignment="1">
      <alignment horizontal="center" vertical="center"/>
    </xf>
    <xf numFmtId="166" fontId="17" fillId="6" borderId="30" xfId="0" applyNumberFormat="1" applyFont="1" applyFill="1" applyBorder="1" applyAlignment="1">
      <alignment horizontal="center" vertical="center"/>
    </xf>
    <xf numFmtId="175" fontId="17" fillId="6" borderId="30" xfId="0" applyNumberFormat="1" applyFont="1" applyFill="1" applyBorder="1" applyAlignment="1">
      <alignment horizontal="center" vertical="center"/>
    </xf>
    <xf numFmtId="0" fontId="17" fillId="11" borderId="3" xfId="0" applyFont="1" applyFill="1" applyBorder="1" applyAlignment="1">
      <alignment horizontal="center"/>
    </xf>
    <xf numFmtId="0" fontId="17" fillId="11" borderId="13" xfId="0" applyFont="1" applyFill="1" applyBorder="1" applyAlignment="1">
      <alignment horizontal="center"/>
    </xf>
    <xf numFmtId="0" fontId="17" fillId="3" borderId="3" xfId="0" applyFont="1" applyFill="1" applyBorder="1" applyAlignment="1" applyProtection="1">
      <alignment horizontal="center"/>
      <protection locked="0"/>
    </xf>
    <xf numFmtId="0" fontId="17" fillId="3" borderId="12" xfId="0" applyFont="1" applyFill="1" applyBorder="1" applyAlignment="1" applyProtection="1">
      <alignment horizontal="center"/>
      <protection locked="0"/>
    </xf>
    <xf numFmtId="0" fontId="17" fillId="3" borderId="13" xfId="0" applyFont="1" applyFill="1" applyBorder="1" applyAlignment="1" applyProtection="1">
      <alignment horizontal="center"/>
      <protection locked="0"/>
    </xf>
    <xf numFmtId="0" fontId="17" fillId="4" borderId="3" xfId="0" applyFont="1" applyFill="1" applyBorder="1" applyAlignment="1" applyProtection="1">
      <alignment horizontal="center"/>
    </xf>
    <xf numFmtId="0" fontId="17" fillId="4" borderId="13" xfId="0" applyFont="1" applyFill="1" applyBorder="1" applyAlignment="1" applyProtection="1">
      <alignment horizontal="center"/>
    </xf>
    <xf numFmtId="0" fontId="18" fillId="14" borderId="69" xfId="0" applyFont="1" applyFill="1" applyBorder="1" applyAlignment="1">
      <alignment horizontal="center" vertical="center"/>
    </xf>
    <xf numFmtId="0" fontId="18" fillId="14" borderId="70" xfId="0" applyFont="1" applyFill="1" applyBorder="1" applyAlignment="1">
      <alignment horizontal="center" vertical="center"/>
    </xf>
    <xf numFmtId="0" fontId="17" fillId="0" borderId="71" xfId="0" applyFont="1" applyBorder="1" applyAlignment="1">
      <alignment horizontal="center" vertical="center"/>
    </xf>
    <xf numFmtId="0" fontId="17" fillId="0" borderId="64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166" fontId="17" fillId="6" borderId="64" xfId="0" applyNumberFormat="1" applyFont="1" applyFill="1" applyBorder="1" applyAlignment="1">
      <alignment horizontal="center" vertical="center"/>
    </xf>
    <xf numFmtId="166" fontId="17" fillId="6" borderId="38" xfId="0" applyNumberFormat="1" applyFont="1" applyFill="1" applyBorder="1" applyAlignment="1">
      <alignment horizontal="center" vertical="center"/>
    </xf>
    <xf numFmtId="175" fontId="17" fillId="6" borderId="24" xfId="0" applyNumberFormat="1" applyFont="1" applyFill="1" applyBorder="1" applyAlignment="1">
      <alignment horizontal="center" vertical="center"/>
    </xf>
    <xf numFmtId="175" fontId="17" fillId="6" borderId="72" xfId="0" applyNumberFormat="1" applyFont="1" applyFill="1" applyBorder="1" applyAlignment="1">
      <alignment horizontal="center" vertical="center"/>
    </xf>
    <xf numFmtId="175" fontId="17" fillId="6" borderId="2" xfId="0" applyNumberFormat="1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7" fillId="0" borderId="77" xfId="0" applyFont="1" applyBorder="1" applyAlignment="1">
      <alignment horizontal="center"/>
    </xf>
    <xf numFmtId="0" fontId="17" fillId="0" borderId="76" xfId="0" applyFont="1" applyBorder="1" applyAlignment="1">
      <alignment horizontal="center"/>
    </xf>
    <xf numFmtId="0" fontId="17" fillId="11" borderId="39" xfId="0" applyFont="1" applyFill="1" applyBorder="1" applyAlignment="1" applyProtection="1">
      <alignment horizontal="center"/>
    </xf>
    <xf numFmtId="14" fontId="17" fillId="3" borderId="39" xfId="0" applyNumberFormat="1" applyFont="1" applyFill="1" applyBorder="1" applyAlignment="1" applyProtection="1">
      <alignment horizontal="center"/>
      <protection locked="0"/>
    </xf>
    <xf numFmtId="0" fontId="18" fillId="14" borderId="73" xfId="0" applyFont="1" applyFill="1" applyBorder="1" applyAlignment="1">
      <alignment horizontal="center" vertical="center"/>
    </xf>
    <xf numFmtId="0" fontId="18" fillId="14" borderId="24" xfId="0" applyFont="1" applyFill="1" applyBorder="1" applyAlignment="1">
      <alignment horizontal="center" vertical="center"/>
    </xf>
    <xf numFmtId="0" fontId="18" fillId="14" borderId="25" xfId="0" applyFont="1" applyFill="1" applyBorder="1" applyAlignment="1">
      <alignment horizontal="center" vertical="center"/>
    </xf>
    <xf numFmtId="0" fontId="18" fillId="14" borderId="74" xfId="0" applyFont="1" applyFill="1" applyBorder="1" applyAlignment="1">
      <alignment horizontal="center" vertical="center"/>
    </xf>
    <xf numFmtId="0" fontId="18" fillId="14" borderId="28" xfId="0" applyFont="1" applyFill="1" applyBorder="1" applyAlignment="1">
      <alignment horizontal="center" vertical="center"/>
    </xf>
    <xf numFmtId="0" fontId="18" fillId="14" borderId="29" xfId="0" applyFont="1" applyFill="1" applyBorder="1" applyAlignment="1">
      <alignment horizontal="center" vertical="center"/>
    </xf>
    <xf numFmtId="0" fontId="17" fillId="11" borderId="3" xfId="0" applyFont="1" applyFill="1" applyBorder="1" applyAlignment="1" applyProtection="1">
      <alignment horizontal="center"/>
    </xf>
    <xf numFmtId="0" fontId="17" fillId="11" borderId="13" xfId="0" applyFont="1" applyFill="1" applyBorder="1" applyAlignment="1" applyProtection="1">
      <alignment horizontal="center"/>
    </xf>
    <xf numFmtId="0" fontId="17" fillId="0" borderId="26" xfId="0" applyFont="1" applyBorder="1" applyAlignment="1">
      <alignment horizontal="center" vertical="center"/>
    </xf>
    <xf numFmtId="0" fontId="17" fillId="0" borderId="50" xfId="0" applyFont="1" applyBorder="1" applyAlignment="1">
      <alignment horizontal="center" vertical="center"/>
    </xf>
    <xf numFmtId="0" fontId="17" fillId="0" borderId="78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7" fillId="11" borderId="39" xfId="0" applyFont="1" applyFill="1" applyBorder="1" applyAlignment="1">
      <alignment horizontal="center"/>
    </xf>
    <xf numFmtId="165" fontId="17" fillId="3" borderId="39" xfId="0" applyNumberFormat="1" applyFont="1" applyFill="1" applyBorder="1" applyAlignment="1" applyProtection="1">
      <alignment horizontal="center"/>
      <protection locked="0"/>
    </xf>
    <xf numFmtId="0" fontId="17" fillId="3" borderId="39" xfId="0" applyNumberFormat="1" applyFont="1" applyFill="1" applyBorder="1" applyAlignment="1" applyProtection="1">
      <alignment horizontal="center"/>
      <protection locked="0"/>
    </xf>
    <xf numFmtId="164" fontId="17" fillId="3" borderId="39" xfId="0" applyNumberFormat="1" applyFont="1" applyFill="1" applyBorder="1" applyAlignment="1" applyProtection="1">
      <alignment horizontal="center"/>
      <protection locked="0"/>
    </xf>
    <xf numFmtId="0" fontId="17" fillId="0" borderId="75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74" xfId="0" applyFont="1" applyBorder="1" applyAlignment="1">
      <alignment horizontal="center" vertical="center"/>
    </xf>
    <xf numFmtId="0" fontId="17" fillId="0" borderId="76" xfId="0" applyFont="1" applyBorder="1" applyAlignment="1">
      <alignment horizontal="center" vertical="center"/>
    </xf>
    <xf numFmtId="0" fontId="35" fillId="11" borderId="7" xfId="0" applyFont="1" applyFill="1" applyBorder="1" applyAlignment="1" applyProtection="1">
      <alignment horizontal="center" vertical="center"/>
    </xf>
    <xf numFmtId="0" fontId="35" fillId="11" borderId="79" xfId="0" applyFont="1" applyFill="1" applyBorder="1" applyAlignment="1" applyProtection="1">
      <alignment horizontal="center" vertical="center"/>
    </xf>
    <xf numFmtId="0" fontId="35" fillId="11" borderId="80" xfId="0" applyFont="1" applyFill="1" applyBorder="1" applyAlignment="1" applyProtection="1">
      <alignment horizontal="center" vertical="center"/>
    </xf>
    <xf numFmtId="0" fontId="16" fillId="13" borderId="0" xfId="1" applyFill="1" applyBorder="1" applyAlignment="1" applyProtection="1">
      <alignment horizontal="center" vertical="center"/>
    </xf>
    <xf numFmtId="0" fontId="16" fillId="13" borderId="0" xfId="1" applyFill="1" applyAlignment="1" applyProtection="1">
      <alignment horizontal="center"/>
      <protection hidden="1"/>
    </xf>
    <xf numFmtId="0" fontId="35" fillId="0" borderId="0" xfId="0" applyFont="1" applyAlignment="1" applyProtection="1">
      <alignment horizontal="center"/>
      <protection hidden="1"/>
    </xf>
    <xf numFmtId="0" fontId="35" fillId="9" borderId="40" xfId="0" applyFont="1" applyFill="1" applyBorder="1" applyAlignment="1" applyProtection="1">
      <alignment horizontal="center"/>
      <protection hidden="1"/>
    </xf>
    <xf numFmtId="0" fontId="35" fillId="9" borderId="7" xfId="0" applyFont="1" applyFill="1" applyBorder="1" applyAlignment="1" applyProtection="1">
      <alignment horizontal="center"/>
      <protection hidden="1"/>
    </xf>
    <xf numFmtId="0" fontId="35" fillId="9" borderId="41" xfId="0" applyFont="1" applyFill="1" applyBorder="1" applyAlignment="1" applyProtection="1">
      <alignment horizontal="center"/>
      <protection hidden="1"/>
    </xf>
    <xf numFmtId="0" fontId="35" fillId="9" borderId="3" xfId="0" applyFont="1" applyFill="1" applyBorder="1" applyAlignment="1" applyProtection="1">
      <alignment horizontal="center"/>
      <protection hidden="1"/>
    </xf>
    <xf numFmtId="0" fontId="35" fillId="9" borderId="12" xfId="0" applyFont="1" applyFill="1" applyBorder="1" applyAlignment="1" applyProtection="1">
      <alignment horizontal="center"/>
      <protection hidden="1"/>
    </xf>
    <xf numFmtId="0" fontId="35" fillId="9" borderId="13" xfId="0" applyFont="1" applyFill="1" applyBorder="1" applyAlignment="1" applyProtection="1">
      <alignment horizontal="center"/>
      <protection hidden="1"/>
    </xf>
  </cellXfs>
  <cellStyles count="2">
    <cellStyle name="Normal" xfId="0" builtinId="0"/>
    <cellStyle name="Title" xfId="1" builtinId="1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C46"/>
      <rgbColor rgb="00FFFF00"/>
      <rgbColor rgb="00FF00FF"/>
      <rgbColor rgb="0000FFFF"/>
      <rgbColor rgb="00800000"/>
      <rgbColor rgb="00008000"/>
      <rgbColor rgb="0001000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0000"/>
      <rgbColor rgb="00000C46"/>
      <rgbColor rgb="00FFFFFF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7243661849961064E-2"/>
          <c:y val="2.7468886963292267E-2"/>
          <c:w val="0.91182103423906857"/>
          <c:h val="0.86299119330902452"/>
        </c:manualLayout>
      </c:layout>
      <c:bubbleChart>
        <c:varyColors val="0"/>
        <c:ser>
          <c:idx val="0"/>
          <c:order val="0"/>
          <c:tx>
            <c:strRef>
              <c:f>'Star Finder'!$AL$185</c:f>
              <c:strCache>
                <c:ptCount val="1"/>
                <c:pt idx="0">
                  <c:v>Moon</c:v>
                </c:pt>
              </c:strCache>
            </c:strRef>
          </c:tx>
          <c:spPr>
            <a:gradFill rotWithShape="0">
              <a:gsLst>
                <a:gs pos="0">
                  <a:srgbClr xmlns:mc="http://schemas.openxmlformats.org/markup-compatibility/2006" xmlns:a14="http://schemas.microsoft.com/office/drawing/2010/main" val="CCFFFF" mc:Ignorable="a14" a14:legacySpreadsheetColorIndex="27"/>
                </a:gs>
                <a:gs pos="100000">
                  <a:srgbClr xmlns:mc="http://schemas.openxmlformats.org/markup-compatibility/2006" xmlns:a14="http://schemas.microsoft.com/office/drawing/2010/main" val="5E7676" mc:Ignorable="a14" a14:legacySpreadsheetColorIndex="27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Finder'!$AM$185</c:f>
              <c:numCache>
                <c:formatCode>General</c:formatCode>
                <c:ptCount val="1"/>
                <c:pt idx="0">
                  <c:v>61.963775043184938</c:v>
                </c:pt>
              </c:numCache>
            </c:numRef>
          </c:xVal>
          <c:yVal>
            <c:numRef>
              <c:f>'Star Finder'!$AN$185</c:f>
              <c:numCache>
                <c:formatCode>General</c:formatCode>
                <c:ptCount val="1"/>
                <c:pt idx="0">
                  <c:v>-12.774500326713554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10</c:v>
              </c:pt>
            </c:numLit>
          </c:bubbleSize>
          <c:bubble3D val="1"/>
          <c:extLst>
            <c:ext xmlns:c16="http://schemas.microsoft.com/office/drawing/2014/chart" uri="{C3380CC4-5D6E-409C-BE32-E72D297353CC}">
              <c16:uniqueId val="{00000000-71DE-44AD-A9B5-B9E7C7075ACC}"/>
            </c:ext>
          </c:extLst>
        </c:ser>
        <c:ser>
          <c:idx val="1"/>
          <c:order val="1"/>
          <c:tx>
            <c:strRef>
              <c:f>'Star Finder'!$AL$184</c:f>
              <c:strCache>
                <c:ptCount val="1"/>
                <c:pt idx="0">
                  <c:v>Sun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xVal>
            <c:numRef>
              <c:f>'Star Finder'!$AM$184</c:f>
              <c:numCache>
                <c:formatCode>General</c:formatCode>
                <c:ptCount val="1"/>
                <c:pt idx="0">
                  <c:v>277.84003119084014</c:v>
                </c:pt>
              </c:numCache>
            </c:numRef>
          </c:xVal>
          <c:yVal>
            <c:numRef>
              <c:f>'Star Finder'!$AN$184</c:f>
              <c:numCache>
                <c:formatCode>General</c:formatCode>
                <c:ptCount val="1"/>
                <c:pt idx="0">
                  <c:v>-2.547983589124371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20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71DE-44AD-A9B5-B9E7C7075ACC}"/>
            </c:ext>
          </c:extLst>
        </c:ser>
        <c:ser>
          <c:idx val="2"/>
          <c:order val="2"/>
          <c:tx>
            <c:strRef>
              <c:f>'Star Finder'!$AL$186</c:f>
              <c:strCache>
                <c:ptCount val="1"/>
                <c:pt idx="0">
                  <c:v>Acamar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Finder'!$AM$186</c:f>
              <c:numCache>
                <c:formatCode>General</c:formatCode>
                <c:ptCount val="1"/>
                <c:pt idx="0">
                  <c:v>108.30608187380297</c:v>
                </c:pt>
              </c:numCache>
            </c:numRef>
          </c:xVal>
          <c:yVal>
            <c:numRef>
              <c:f>'Star Finder'!$AN$186</c:f>
              <c:numCache>
                <c:formatCode>General</c:formatCode>
                <c:ptCount val="1"/>
                <c:pt idx="0">
                  <c:v>-58.145097233834164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71DE-44AD-A9B5-B9E7C7075ACC}"/>
            </c:ext>
          </c:extLst>
        </c:ser>
        <c:ser>
          <c:idx val="3"/>
          <c:order val="3"/>
          <c:tx>
            <c:strRef>
              <c:f>'Star Finder'!$AL$187</c:f>
              <c:strCache>
                <c:ptCount val="1"/>
                <c:pt idx="0">
                  <c:v>Achernar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Finder'!$AM$187</c:f>
              <c:numCache>
                <c:formatCode>General</c:formatCode>
                <c:ptCount val="1"/>
                <c:pt idx="0">
                  <c:v>137.02805886925097</c:v>
                </c:pt>
              </c:numCache>
            </c:numRef>
          </c:xVal>
          <c:yVal>
            <c:numRef>
              <c:f>'Star Finder'!$AN$187</c:f>
              <c:numCache>
                <c:formatCode>General</c:formatCode>
                <c:ptCount val="1"/>
                <c:pt idx="0">
                  <c:v>-45.762428717592272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71DE-44AD-A9B5-B9E7C7075ACC}"/>
            </c:ext>
          </c:extLst>
        </c:ser>
        <c:ser>
          <c:idx val="4"/>
          <c:order val="4"/>
          <c:tx>
            <c:strRef>
              <c:f>'Star Finder'!$AL$188</c:f>
              <c:strCache>
                <c:ptCount val="1"/>
                <c:pt idx="0">
                  <c:v>Acrux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Finder'!$AM$188</c:f>
              <c:numCache>
                <c:formatCode>General</c:formatCode>
                <c:ptCount val="1"/>
                <c:pt idx="0">
                  <c:v>210.07807232137182</c:v>
                </c:pt>
              </c:numCache>
            </c:numRef>
          </c:xVal>
          <c:yVal>
            <c:numRef>
              <c:f>'Star Finder'!$AN$188</c:f>
              <c:numCache>
                <c:formatCode>General</c:formatCode>
                <c:ptCount val="1"/>
                <c:pt idx="0">
                  <c:v>-28.110738081197677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71DE-44AD-A9B5-B9E7C7075ACC}"/>
            </c:ext>
          </c:extLst>
        </c:ser>
        <c:ser>
          <c:idx val="5"/>
          <c:order val="5"/>
          <c:tx>
            <c:strRef>
              <c:f>'Star Finder'!$AL$189</c:f>
              <c:strCache>
                <c:ptCount val="1"/>
                <c:pt idx="0">
                  <c:v>Adhara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Finder'!$AM$189</c:f>
              <c:numCache>
                <c:formatCode>General</c:formatCode>
                <c:ptCount val="1"/>
                <c:pt idx="0">
                  <c:v>291.62646212087202</c:v>
                </c:pt>
              </c:numCache>
            </c:numRef>
          </c:xVal>
          <c:yVal>
            <c:numRef>
              <c:f>'Star Finder'!$AN$189</c:f>
              <c:numCache>
                <c:formatCode>General</c:formatCode>
                <c:ptCount val="1"/>
                <c:pt idx="0">
                  <c:v>-72.080678736451944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71DE-44AD-A9B5-B9E7C7075ACC}"/>
            </c:ext>
          </c:extLst>
        </c:ser>
        <c:ser>
          <c:idx val="6"/>
          <c:order val="6"/>
          <c:tx>
            <c:strRef>
              <c:f>'Star Finder'!$AL$190</c:f>
              <c:strCache>
                <c:ptCount val="1"/>
                <c:pt idx="0">
                  <c:v>Aldebaran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Finder'!$AM$190</c:f>
              <c:numCache>
                <c:formatCode>General</c:formatCode>
                <c:ptCount val="1"/>
                <c:pt idx="0">
                  <c:v>19.262009297074123</c:v>
                </c:pt>
              </c:numCache>
            </c:numRef>
          </c:xVal>
          <c:yVal>
            <c:numRef>
              <c:f>'Star Finder'!$AN$190</c:f>
              <c:numCache>
                <c:formatCode>General</c:formatCode>
                <c:ptCount val="1"/>
                <c:pt idx="0">
                  <c:v>-34.018225121869904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6-71DE-44AD-A9B5-B9E7C7075ACC}"/>
            </c:ext>
          </c:extLst>
        </c:ser>
        <c:ser>
          <c:idx val="7"/>
          <c:order val="7"/>
          <c:tx>
            <c:strRef>
              <c:f>'Star Finder'!$AL$191</c:f>
              <c:strCache>
                <c:ptCount val="1"/>
                <c:pt idx="0">
                  <c:v>Alioth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Finder'!$AM$191</c:f>
              <c:numCache>
                <c:formatCode>General</c:formatCode>
                <c:ptCount val="1"/>
                <c:pt idx="0">
                  <c:v>316.03797409491278</c:v>
                </c:pt>
              </c:numCache>
            </c:numRef>
          </c:xVal>
          <c:yVal>
            <c:numRef>
              <c:f>'Star Finder'!$AN$191</c:f>
              <c:numCache>
                <c:formatCode>General</c:formatCode>
                <c:ptCount val="1"/>
                <c:pt idx="0">
                  <c:v>39.666463557034135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7-71DE-44AD-A9B5-B9E7C7075ACC}"/>
            </c:ext>
          </c:extLst>
        </c:ser>
        <c:ser>
          <c:idx val="8"/>
          <c:order val="8"/>
          <c:tx>
            <c:strRef>
              <c:f>'Star Finder'!$AL$192</c:f>
              <c:strCache>
                <c:ptCount val="1"/>
                <c:pt idx="0">
                  <c:v>Alkaid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Finder'!$AM$192</c:f>
              <c:numCache>
                <c:formatCode>General</c:formatCode>
                <c:ptCount val="1"/>
                <c:pt idx="0">
                  <c:v>305.43788862948458</c:v>
                </c:pt>
              </c:numCache>
            </c:numRef>
          </c:xVal>
          <c:yVal>
            <c:numRef>
              <c:f>'Star Finder'!$AN$192</c:f>
              <c:numCache>
                <c:formatCode>General</c:formatCode>
                <c:ptCount val="1"/>
                <c:pt idx="0">
                  <c:v>46.758564089546461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8-71DE-44AD-A9B5-B9E7C7075ACC}"/>
            </c:ext>
          </c:extLst>
        </c:ser>
        <c:ser>
          <c:idx val="9"/>
          <c:order val="9"/>
          <c:tx>
            <c:strRef>
              <c:f>'Star Finder'!$AL$193</c:f>
              <c:strCache>
                <c:ptCount val="1"/>
                <c:pt idx="0">
                  <c:v>Al Na'ir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Finder'!$AM$193</c:f>
              <c:numCache>
                <c:formatCode>General</c:formatCode>
                <c:ptCount val="1"/>
                <c:pt idx="0">
                  <c:v>139.97185552533062</c:v>
                </c:pt>
              </c:numCache>
            </c:numRef>
          </c:xVal>
          <c:yVal>
            <c:numRef>
              <c:f>'Star Finder'!$AN$193</c:f>
              <c:numCache>
                <c:formatCode>General</c:formatCode>
                <c:ptCount val="1"/>
                <c:pt idx="0">
                  <c:v>-12.891365683037229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9-71DE-44AD-A9B5-B9E7C7075ACC}"/>
            </c:ext>
          </c:extLst>
        </c:ser>
        <c:ser>
          <c:idx val="10"/>
          <c:order val="10"/>
          <c:tx>
            <c:strRef>
              <c:f>'Star Finder'!$AL$194</c:f>
              <c:strCache>
                <c:ptCount val="1"/>
                <c:pt idx="0">
                  <c:v>Alnilam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Finder'!$AM$194</c:f>
              <c:numCache>
                <c:formatCode>General</c:formatCode>
                <c:ptCount val="1"/>
                <c:pt idx="0">
                  <c:v>2.5628907457900438</c:v>
                </c:pt>
              </c:numCache>
            </c:numRef>
          </c:xVal>
          <c:yVal>
            <c:numRef>
              <c:f>'Star Finder'!$AN$194</c:f>
              <c:numCache>
                <c:formatCode>General</c:formatCode>
                <c:ptCount val="1"/>
                <c:pt idx="0">
                  <c:v>-53.953351886298726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A-71DE-44AD-A9B5-B9E7C7075ACC}"/>
            </c:ext>
          </c:extLst>
        </c:ser>
        <c:ser>
          <c:idx val="11"/>
          <c:order val="11"/>
          <c:tx>
            <c:strRef>
              <c:f>'Star Finder'!$AL$195</c:f>
              <c:strCache>
                <c:ptCount val="1"/>
                <c:pt idx="0">
                  <c:v>Alphard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Finder'!$AM$195</c:f>
              <c:numCache>
                <c:formatCode>General</c:formatCode>
                <c:ptCount val="1"/>
                <c:pt idx="0">
                  <c:v>284.3088692148732</c:v>
                </c:pt>
              </c:numCache>
            </c:numRef>
          </c:xVal>
          <c:yVal>
            <c:numRef>
              <c:f>'Star Finder'!$AN$195</c:f>
              <c:numCache>
                <c:formatCode>General</c:formatCode>
                <c:ptCount val="1"/>
                <c:pt idx="0">
                  <c:v>-31.90899983206171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B-71DE-44AD-A9B5-B9E7C7075ACC}"/>
            </c:ext>
          </c:extLst>
        </c:ser>
        <c:ser>
          <c:idx val="12"/>
          <c:order val="12"/>
          <c:tx>
            <c:strRef>
              <c:f>'Star Finder'!$AL$196</c:f>
              <c:strCache>
                <c:ptCount val="1"/>
                <c:pt idx="0">
                  <c:v>Alphecca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Finder'!$AM$196</c:f>
              <c:numCache>
                <c:formatCode>General</c:formatCode>
                <c:ptCount val="1"/>
                <c:pt idx="0">
                  <c:v>257.82077220297839</c:v>
                </c:pt>
              </c:numCache>
            </c:numRef>
          </c:xVal>
          <c:yVal>
            <c:numRef>
              <c:f>'Star Finder'!$AN$196</c:f>
              <c:numCache>
                <c:formatCode>General</c:formatCode>
                <c:ptCount val="1"/>
                <c:pt idx="0">
                  <c:v>61.120531983630165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C-71DE-44AD-A9B5-B9E7C7075ACC}"/>
            </c:ext>
          </c:extLst>
        </c:ser>
        <c:ser>
          <c:idx val="13"/>
          <c:order val="13"/>
          <c:tx>
            <c:strRef>
              <c:f>'Star Finder'!$AL$197</c:f>
              <c:strCache>
                <c:ptCount val="1"/>
                <c:pt idx="0">
                  <c:v>Alpheratz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Finder'!$AM$197</c:f>
              <c:numCache>
                <c:formatCode>General</c:formatCode>
                <c:ptCount val="1"/>
                <c:pt idx="0">
                  <c:v>62.620614963927025</c:v>
                </c:pt>
              </c:numCache>
            </c:numRef>
          </c:xVal>
          <c:yVal>
            <c:numRef>
              <c:f>'Star Finder'!$AN$197</c:f>
              <c:numCache>
                <c:formatCode>General</c:formatCode>
                <c:ptCount val="1"/>
                <c:pt idx="0">
                  <c:v>12.486520451888747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D-71DE-44AD-A9B5-B9E7C7075ACC}"/>
            </c:ext>
          </c:extLst>
        </c:ser>
        <c:ser>
          <c:idx val="14"/>
          <c:order val="14"/>
          <c:tx>
            <c:strRef>
              <c:f>'Star Finder'!$AL$198</c:f>
              <c:strCache>
                <c:ptCount val="1"/>
                <c:pt idx="0">
                  <c:v>Altair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Finder'!$AM$198</c:f>
              <c:numCache>
                <c:formatCode>General</c:formatCode>
                <c:ptCount val="1"/>
                <c:pt idx="0">
                  <c:v>126.02106103550133</c:v>
                </c:pt>
              </c:numCache>
            </c:numRef>
          </c:xVal>
          <c:yVal>
            <c:numRef>
              <c:f>'Star Finder'!$AN$198</c:f>
              <c:numCache>
                <c:formatCode>General</c:formatCode>
                <c:ptCount val="1"/>
                <c:pt idx="0">
                  <c:v>49.483371420856486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E-71DE-44AD-A9B5-B9E7C7075ACC}"/>
            </c:ext>
          </c:extLst>
        </c:ser>
        <c:ser>
          <c:idx val="15"/>
          <c:order val="15"/>
          <c:tx>
            <c:strRef>
              <c:f>'Star Finder'!$AL$199</c:f>
              <c:strCache>
                <c:ptCount val="1"/>
                <c:pt idx="0">
                  <c:v>Ankaa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Finder'!$AM$199</c:f>
              <c:numCache>
                <c:formatCode>General</c:formatCode>
                <c:ptCount val="1"/>
                <c:pt idx="0">
                  <c:v>121.69436083875344</c:v>
                </c:pt>
              </c:numCache>
            </c:numRef>
          </c:xVal>
          <c:yVal>
            <c:numRef>
              <c:f>'Star Finder'!$AN$199</c:f>
              <c:numCache>
                <c:formatCode>General</c:formatCode>
                <c:ptCount val="1"/>
                <c:pt idx="0">
                  <c:v>-31.235927028429767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F-71DE-44AD-A9B5-B9E7C7075ACC}"/>
            </c:ext>
          </c:extLst>
        </c:ser>
        <c:ser>
          <c:idx val="16"/>
          <c:order val="16"/>
          <c:tx>
            <c:strRef>
              <c:f>'Star Finder'!$AL$200</c:f>
              <c:strCache>
                <c:ptCount val="1"/>
                <c:pt idx="0">
                  <c:v>Antares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25" b="0" i="0" u="none" strike="noStrike" baseline="0">
                      <a:solidFill>
                        <a:srgbClr val="FF99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a-IR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D09-46EF-AA9A-D490C0EB5B9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Finder'!$AM$200</c:f>
              <c:numCache>
                <c:formatCode>General</c:formatCode>
                <c:ptCount val="1"/>
                <c:pt idx="0">
                  <c:v>197.86706888204094</c:v>
                </c:pt>
              </c:numCache>
            </c:numRef>
          </c:xVal>
          <c:yVal>
            <c:numRef>
              <c:f>'Star Finder'!$AN$200</c:f>
              <c:numCache>
                <c:formatCode>General</c:formatCode>
                <c:ptCount val="1"/>
                <c:pt idx="0">
                  <c:v>24.04885602462911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1-71DE-44AD-A9B5-B9E7C7075ACC}"/>
            </c:ext>
          </c:extLst>
        </c:ser>
        <c:ser>
          <c:idx val="17"/>
          <c:order val="17"/>
          <c:tx>
            <c:strRef>
              <c:f>'Star Finder'!$AL$201</c:f>
              <c:strCache>
                <c:ptCount val="1"/>
                <c:pt idx="0">
                  <c:v>Arcturus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Finder'!$AM$201</c:f>
              <c:numCache>
                <c:formatCode>General</c:formatCode>
                <c:ptCount val="1"/>
                <c:pt idx="0">
                  <c:v>262.73911602802218</c:v>
                </c:pt>
              </c:numCache>
            </c:numRef>
          </c:xVal>
          <c:yVal>
            <c:numRef>
              <c:f>'Star Finder'!$AN$201</c:f>
              <c:numCache>
                <c:formatCode>General</c:formatCode>
                <c:ptCount val="1"/>
                <c:pt idx="0">
                  <c:v>41.664845745818191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2-71DE-44AD-A9B5-B9E7C7075ACC}"/>
            </c:ext>
          </c:extLst>
        </c:ser>
        <c:ser>
          <c:idx val="18"/>
          <c:order val="18"/>
          <c:tx>
            <c:strRef>
              <c:f>'Star Finder'!$AL$202</c:f>
              <c:strCache>
                <c:ptCount val="1"/>
                <c:pt idx="0">
                  <c:v>Atria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Finder'!$AM$202</c:f>
              <c:numCache>
                <c:formatCode>General</c:formatCode>
                <c:ptCount val="1"/>
                <c:pt idx="0">
                  <c:v>185.0045200097878</c:v>
                </c:pt>
              </c:numCache>
            </c:numRef>
          </c:xVal>
          <c:yVal>
            <c:numRef>
              <c:f>'Star Finder'!$AN$202</c:f>
              <c:numCache>
                <c:formatCode>General</c:formatCode>
                <c:ptCount val="1"/>
                <c:pt idx="0">
                  <c:v>-16.73778294494274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3-71DE-44AD-A9B5-B9E7C7075ACC}"/>
            </c:ext>
          </c:extLst>
        </c:ser>
        <c:ser>
          <c:idx val="19"/>
          <c:order val="19"/>
          <c:tx>
            <c:strRef>
              <c:f>'Star Finder'!$AL$203</c:f>
              <c:strCache>
                <c:ptCount val="1"/>
                <c:pt idx="0">
                  <c:v>Avior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Finder'!$AM$203</c:f>
              <c:numCache>
                <c:formatCode>General</c:formatCode>
                <c:ptCount val="1"/>
                <c:pt idx="0">
                  <c:v>215.73148710180669</c:v>
                </c:pt>
              </c:numCache>
            </c:numRef>
          </c:xVal>
          <c:yVal>
            <c:numRef>
              <c:f>'Star Finder'!$AN$203</c:f>
              <c:numCache>
                <c:formatCode>General</c:formatCode>
                <c:ptCount val="1"/>
                <c:pt idx="0">
                  <c:v>-56.108021096563256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4-71DE-44AD-A9B5-B9E7C7075ACC}"/>
            </c:ext>
          </c:extLst>
        </c:ser>
        <c:ser>
          <c:idx val="20"/>
          <c:order val="20"/>
          <c:tx>
            <c:strRef>
              <c:f>'Star Finder'!$AL$204</c:f>
              <c:strCache>
                <c:ptCount val="1"/>
                <c:pt idx="0">
                  <c:v>Bellatrix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Finder'!$AM$204</c:f>
              <c:numCache>
                <c:formatCode>General</c:formatCode>
                <c:ptCount val="1"/>
                <c:pt idx="0">
                  <c:v>6.1523543315236608</c:v>
                </c:pt>
              </c:numCache>
            </c:numRef>
          </c:xVal>
          <c:yVal>
            <c:numRef>
              <c:f>'Star Finder'!$AN$204</c:f>
              <c:numCache>
                <c:formatCode>General</c:formatCode>
                <c:ptCount val="1"/>
                <c:pt idx="0">
                  <c:v>-46.247162278455484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5-71DE-44AD-A9B5-B9E7C7075ACC}"/>
            </c:ext>
          </c:extLst>
        </c:ser>
        <c:ser>
          <c:idx val="21"/>
          <c:order val="21"/>
          <c:tx>
            <c:strRef>
              <c:f>'Star Finder'!$AL$205</c:f>
              <c:strCache>
                <c:ptCount val="1"/>
                <c:pt idx="0">
                  <c:v>Betelgeuse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Finder'!$AM$205</c:f>
              <c:numCache>
                <c:formatCode>General</c:formatCode>
                <c:ptCount val="1"/>
                <c:pt idx="0">
                  <c:v>355.43613396722156</c:v>
                </c:pt>
              </c:numCache>
            </c:numRef>
          </c:xVal>
          <c:yVal>
            <c:numRef>
              <c:f>'Star Finder'!$AN$205</c:f>
              <c:numCache>
                <c:formatCode>General</c:formatCode>
                <c:ptCount val="1"/>
                <c:pt idx="0">
                  <c:v>-45.289228865267859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6-71DE-44AD-A9B5-B9E7C7075ACC}"/>
            </c:ext>
          </c:extLst>
        </c:ser>
        <c:ser>
          <c:idx val="22"/>
          <c:order val="22"/>
          <c:tx>
            <c:strRef>
              <c:f>'Star Finder'!$AL$206</c:f>
              <c:strCache>
                <c:ptCount val="1"/>
                <c:pt idx="0">
                  <c:v>Canopus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Finder'!$AM$206</c:f>
              <c:numCache>
                <c:formatCode>General</c:formatCode>
                <c:ptCount val="1"/>
                <c:pt idx="0">
                  <c:v>201.81734355443635</c:v>
                </c:pt>
              </c:numCache>
            </c:numRef>
          </c:xVal>
          <c:yVal>
            <c:numRef>
              <c:f>'Star Finder'!$AN$206</c:f>
              <c:numCache>
                <c:formatCode>General</c:formatCode>
                <c:ptCount val="1"/>
                <c:pt idx="0">
                  <c:v>-72.867156997831259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7-71DE-44AD-A9B5-B9E7C7075ACC}"/>
            </c:ext>
          </c:extLst>
        </c:ser>
        <c:ser>
          <c:idx val="23"/>
          <c:order val="23"/>
          <c:tx>
            <c:strRef>
              <c:f>'Star Finder'!$AL$207</c:f>
              <c:strCache>
                <c:ptCount val="1"/>
                <c:pt idx="0">
                  <c:v>Capella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Finder'!$AM$207</c:f>
              <c:numCache>
                <c:formatCode>General</c:formatCode>
                <c:ptCount val="1"/>
                <c:pt idx="0">
                  <c:v>4.448645187784682</c:v>
                </c:pt>
              </c:numCache>
            </c:numRef>
          </c:xVal>
          <c:yVal>
            <c:numRef>
              <c:f>'Star Finder'!$AN$207</c:f>
              <c:numCache>
                <c:formatCode>General</c:formatCode>
                <c:ptCount val="1"/>
                <c:pt idx="0">
                  <c:v>-6.5779010589199309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8-71DE-44AD-A9B5-B9E7C7075ACC}"/>
            </c:ext>
          </c:extLst>
        </c:ser>
        <c:ser>
          <c:idx val="24"/>
          <c:order val="24"/>
          <c:tx>
            <c:strRef>
              <c:f>'Star Finder'!$AL$208</c:f>
              <c:strCache>
                <c:ptCount val="1"/>
                <c:pt idx="0">
                  <c:v>Deneb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Finder'!$AM$208</c:f>
              <c:numCache>
                <c:formatCode>General</c:formatCode>
                <c:ptCount val="1"/>
                <c:pt idx="0">
                  <c:v>61.787789323301539</c:v>
                </c:pt>
              </c:numCache>
            </c:numRef>
          </c:xVal>
          <c:yVal>
            <c:numRef>
              <c:f>'Star Finder'!$AN$208</c:f>
              <c:numCache>
                <c:formatCode>General</c:formatCode>
                <c:ptCount val="1"/>
                <c:pt idx="0">
                  <c:v>55.798522134884593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9-71DE-44AD-A9B5-B9E7C7075ACC}"/>
            </c:ext>
          </c:extLst>
        </c:ser>
        <c:ser>
          <c:idx val="25"/>
          <c:order val="25"/>
          <c:tx>
            <c:strRef>
              <c:f>'Star Finder'!$AL$209</c:f>
              <c:strCache>
                <c:ptCount val="1"/>
                <c:pt idx="0">
                  <c:v>Denebola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Finder'!$AM$209</c:f>
              <c:numCache>
                <c:formatCode>General</c:formatCode>
                <c:ptCount val="1"/>
                <c:pt idx="0">
                  <c:v>280.59299680874284</c:v>
                </c:pt>
              </c:numCache>
            </c:numRef>
          </c:xVal>
          <c:yVal>
            <c:numRef>
              <c:f>'Star Finder'!$AN$209</c:f>
              <c:numCache>
                <c:formatCode>General</c:formatCode>
                <c:ptCount val="1"/>
                <c:pt idx="0">
                  <c:v>10.001567235778255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A-71DE-44AD-A9B5-B9E7C7075ACC}"/>
            </c:ext>
          </c:extLst>
        </c:ser>
        <c:ser>
          <c:idx val="26"/>
          <c:order val="26"/>
          <c:tx>
            <c:strRef>
              <c:f>'Star Finder'!$AL$210</c:f>
              <c:strCache>
                <c:ptCount val="1"/>
                <c:pt idx="0">
                  <c:v>Diphda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Finder'!$AM$210</c:f>
              <c:numCache>
                <c:formatCode>General</c:formatCode>
                <c:ptCount val="1"/>
                <c:pt idx="0">
                  <c:v>95.725178219970516</c:v>
                </c:pt>
              </c:numCache>
            </c:numRef>
          </c:xVal>
          <c:yVal>
            <c:numRef>
              <c:f>'Star Finder'!$AN$210</c:f>
              <c:numCache>
                <c:formatCode>General</c:formatCode>
                <c:ptCount val="1"/>
                <c:pt idx="0">
                  <c:v>-22.691242746055615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B-71DE-44AD-A9B5-B9E7C7075ACC}"/>
            </c:ext>
          </c:extLst>
        </c:ser>
        <c:ser>
          <c:idx val="27"/>
          <c:order val="27"/>
          <c:tx>
            <c:strRef>
              <c:f>'Star Finder'!$AL$211</c:f>
              <c:strCache>
                <c:ptCount val="1"/>
                <c:pt idx="0">
                  <c:v>Dubhe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Finder'!$AM$211</c:f>
              <c:numCache>
                <c:formatCode>General</c:formatCode>
                <c:ptCount val="1"/>
                <c:pt idx="0">
                  <c:v>327.9414804388457</c:v>
                </c:pt>
              </c:numCache>
            </c:numRef>
          </c:xVal>
          <c:yVal>
            <c:numRef>
              <c:f>'Star Finder'!$AN$211</c:f>
              <c:numCache>
                <c:formatCode>General</c:formatCode>
                <c:ptCount val="1"/>
                <c:pt idx="0">
                  <c:v>27.957713581853248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C-71DE-44AD-A9B5-B9E7C7075ACC}"/>
            </c:ext>
          </c:extLst>
        </c:ser>
        <c:ser>
          <c:idx val="28"/>
          <c:order val="28"/>
          <c:tx>
            <c:strRef>
              <c:f>'Star Finder'!$AL$212</c:f>
              <c:strCache>
                <c:ptCount val="1"/>
                <c:pt idx="0">
                  <c:v>Elnath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Finder'!$AM$212</c:f>
              <c:numCache>
                <c:formatCode>General</c:formatCode>
                <c:ptCount val="1"/>
                <c:pt idx="0">
                  <c:v>3.8242320372041987</c:v>
                </c:pt>
              </c:numCache>
            </c:numRef>
          </c:xVal>
          <c:yVal>
            <c:numRef>
              <c:f>'Star Finder'!$AN$212</c:f>
              <c:numCache>
                <c:formatCode>General</c:formatCode>
                <c:ptCount val="1"/>
                <c:pt idx="0">
                  <c:v>-24.066718068909022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D-71DE-44AD-A9B5-B9E7C7075ACC}"/>
            </c:ext>
          </c:extLst>
        </c:ser>
        <c:ser>
          <c:idx val="29"/>
          <c:order val="29"/>
          <c:tx>
            <c:strRef>
              <c:f>'Star Finder'!$AL$213</c:f>
              <c:strCache>
                <c:ptCount val="1"/>
                <c:pt idx="0">
                  <c:v>Eltanin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Finder'!$AM$213</c:f>
              <c:numCache>
                <c:formatCode>General</c:formatCode>
                <c:ptCount val="1"/>
                <c:pt idx="0">
                  <c:v>9.0608156291507669</c:v>
                </c:pt>
              </c:numCache>
            </c:numRef>
          </c:xVal>
          <c:yVal>
            <c:numRef>
              <c:f>'Star Finder'!$AN$213</c:f>
              <c:numCache>
                <c:formatCode>General</c:formatCode>
                <c:ptCount val="1"/>
                <c:pt idx="0">
                  <c:v>75.483605831390122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E-71DE-44AD-A9B5-B9E7C7075ACC}"/>
            </c:ext>
          </c:extLst>
        </c:ser>
        <c:ser>
          <c:idx val="30"/>
          <c:order val="30"/>
          <c:tx>
            <c:strRef>
              <c:f>'Star Finder'!$AL$214</c:f>
              <c:strCache>
                <c:ptCount val="1"/>
                <c:pt idx="0">
                  <c:v>Enif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Finder'!$AM$214</c:f>
              <c:numCache>
                <c:formatCode>General</c:formatCode>
                <c:ptCount val="1"/>
                <c:pt idx="0">
                  <c:v>100.25562901885851</c:v>
                </c:pt>
              </c:numCache>
            </c:numRef>
          </c:xVal>
          <c:yVal>
            <c:numRef>
              <c:f>'Star Finder'!$AN$214</c:f>
              <c:numCache>
                <c:formatCode>General</c:formatCode>
                <c:ptCount val="1"/>
                <c:pt idx="0">
                  <c:v>29.426526550526841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1F-71DE-44AD-A9B5-B9E7C7075ACC}"/>
            </c:ext>
          </c:extLst>
        </c:ser>
        <c:ser>
          <c:idx val="31"/>
          <c:order val="31"/>
          <c:tx>
            <c:strRef>
              <c:f>'Star Finder'!$AL$215</c:f>
              <c:strCache>
                <c:ptCount val="1"/>
                <c:pt idx="0">
                  <c:v>Formalhaut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Finder'!$AM$215</c:f>
              <c:numCache>
                <c:formatCode>General</c:formatCode>
                <c:ptCount val="1"/>
                <c:pt idx="0">
                  <c:v>120.0622374802121</c:v>
                </c:pt>
              </c:numCache>
            </c:numRef>
          </c:xVal>
          <c:yVal>
            <c:numRef>
              <c:f>'Star Finder'!$AN$215</c:f>
              <c:numCache>
                <c:formatCode>General</c:formatCode>
                <c:ptCount val="1"/>
                <c:pt idx="0">
                  <c:v>-9.3856095222460247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0-71DE-44AD-A9B5-B9E7C7075ACC}"/>
            </c:ext>
          </c:extLst>
        </c:ser>
        <c:ser>
          <c:idx val="32"/>
          <c:order val="32"/>
          <c:tx>
            <c:strRef>
              <c:f>'Star Finder'!$AL$216</c:f>
              <c:strCache>
                <c:ptCount val="1"/>
                <c:pt idx="0">
                  <c:v>Gacrux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Finder'!$AM$216</c:f>
              <c:numCache>
                <c:formatCode>General</c:formatCode>
                <c:ptCount val="1"/>
                <c:pt idx="0">
                  <c:v>215.59043888839227</c:v>
                </c:pt>
              </c:numCache>
            </c:numRef>
          </c:xVal>
          <c:yVal>
            <c:numRef>
              <c:f>'Star Finder'!$AN$216</c:f>
              <c:numCache>
                <c:formatCode>General</c:formatCode>
                <c:ptCount val="1"/>
                <c:pt idx="0">
                  <c:v>-24.677718206537651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1-71DE-44AD-A9B5-B9E7C7075ACC}"/>
            </c:ext>
          </c:extLst>
        </c:ser>
        <c:ser>
          <c:idx val="33"/>
          <c:order val="33"/>
          <c:tx>
            <c:strRef>
              <c:f>'Star Finder'!$AL$217</c:f>
              <c:strCache>
                <c:ptCount val="1"/>
                <c:pt idx="0">
                  <c:v>Gienah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Finder'!$AM$217</c:f>
              <c:numCache>
                <c:formatCode>General</c:formatCode>
                <c:ptCount val="1"/>
                <c:pt idx="0">
                  <c:v>250.93160166257951</c:v>
                </c:pt>
              </c:numCache>
            </c:numRef>
          </c:xVal>
          <c:yVal>
            <c:numRef>
              <c:f>'Star Finder'!$AN$217</c:f>
              <c:numCache>
                <c:formatCode>General</c:formatCode>
                <c:ptCount val="1"/>
                <c:pt idx="0">
                  <c:v>-4.1886560735766558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2-71DE-44AD-A9B5-B9E7C7075ACC}"/>
            </c:ext>
          </c:extLst>
        </c:ser>
        <c:ser>
          <c:idx val="34"/>
          <c:order val="34"/>
          <c:tx>
            <c:strRef>
              <c:f>'Star Finder'!$AL$218</c:f>
              <c:strCache>
                <c:ptCount val="1"/>
                <c:pt idx="0">
                  <c:v>Hadar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Finder'!$AM$218</c:f>
              <c:numCache>
                <c:formatCode>General</c:formatCode>
                <c:ptCount val="1"/>
                <c:pt idx="0">
                  <c:v>204.91022726797254</c:v>
                </c:pt>
              </c:numCache>
            </c:numRef>
          </c:xVal>
          <c:yVal>
            <c:numRef>
              <c:f>'Star Finder'!$AN$218</c:f>
              <c:numCache>
                <c:formatCode>General</c:formatCode>
                <c:ptCount val="1"/>
                <c:pt idx="0">
                  <c:v>-17.412882265078554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3-71DE-44AD-A9B5-B9E7C7075ACC}"/>
            </c:ext>
          </c:extLst>
        </c:ser>
        <c:ser>
          <c:idx val="35"/>
          <c:order val="35"/>
          <c:tx>
            <c:strRef>
              <c:f>'Star Finder'!$AL$219</c:f>
              <c:strCache>
                <c:ptCount val="1"/>
                <c:pt idx="0">
                  <c:v>Hamal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Finder'!$AM$219</c:f>
              <c:numCache>
                <c:formatCode>General</c:formatCode>
                <c:ptCount val="1"/>
                <c:pt idx="0">
                  <c:v>48.842616579969906</c:v>
                </c:pt>
              </c:numCache>
            </c:numRef>
          </c:xVal>
          <c:yVal>
            <c:numRef>
              <c:f>'Star Finder'!$AN$219</c:f>
              <c:numCache>
                <c:formatCode>General</c:formatCode>
                <c:ptCount val="1"/>
                <c:pt idx="0">
                  <c:v>-10.928698611515234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4-71DE-44AD-A9B5-B9E7C7075ACC}"/>
            </c:ext>
          </c:extLst>
        </c:ser>
        <c:ser>
          <c:idx val="36"/>
          <c:order val="36"/>
          <c:tx>
            <c:strRef>
              <c:f>'Star Finder'!$AL$220</c:f>
              <c:strCache>
                <c:ptCount val="1"/>
                <c:pt idx="0">
                  <c:v>Jupiter</c:v>
                </c:pt>
              </c:strCache>
            </c:strRef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Finder'!$AM$220</c:f>
              <c:numCache>
                <c:formatCode>General</c:formatCode>
                <c:ptCount val="1"/>
                <c:pt idx="0">
                  <c:v>333.84046530907898</c:v>
                </c:pt>
              </c:numCache>
            </c:numRef>
          </c:xVal>
          <c:yVal>
            <c:numRef>
              <c:f>'Star Finder'!$AN$220</c:f>
              <c:numCache>
                <c:formatCode>General</c:formatCode>
                <c:ptCount val="1"/>
                <c:pt idx="0">
                  <c:v>-26.199020047175573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2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5-71DE-44AD-A9B5-B9E7C7075ACC}"/>
            </c:ext>
          </c:extLst>
        </c:ser>
        <c:ser>
          <c:idx val="37"/>
          <c:order val="37"/>
          <c:tx>
            <c:strRef>
              <c:f>'Star Finder'!$AL$221</c:f>
              <c:strCache>
                <c:ptCount val="1"/>
                <c:pt idx="0">
                  <c:v>Kaus Austr.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Finder'!$AM$221</c:f>
              <c:numCache>
                <c:formatCode>General</c:formatCode>
                <c:ptCount val="1"/>
                <c:pt idx="0">
                  <c:v>170.96608715130216</c:v>
                </c:pt>
              </c:numCache>
            </c:numRef>
          </c:xVal>
          <c:yVal>
            <c:numRef>
              <c:f>'Star Finder'!$AN$221</c:f>
              <c:numCache>
                <c:formatCode>General</c:formatCode>
                <c:ptCount val="1"/>
                <c:pt idx="0">
                  <c:v>17.7762368319232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6-71DE-44AD-A9B5-B9E7C7075ACC}"/>
            </c:ext>
          </c:extLst>
        </c:ser>
        <c:ser>
          <c:idx val="38"/>
          <c:order val="38"/>
          <c:tx>
            <c:strRef>
              <c:f>'Star Finder'!$AL$222</c:f>
              <c:strCache>
                <c:ptCount val="1"/>
                <c:pt idx="0">
                  <c:v>Kochab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Finder'!$AM$222</c:f>
              <c:numCache>
                <c:formatCode>General</c:formatCode>
                <c:ptCount val="1"/>
                <c:pt idx="0">
                  <c:v>343.83730517626248</c:v>
                </c:pt>
              </c:numCache>
            </c:numRef>
          </c:xVal>
          <c:yVal>
            <c:numRef>
              <c:f>'Star Finder'!$AN$222</c:f>
              <c:numCache>
                <c:formatCode>General</c:formatCode>
                <c:ptCount val="1"/>
                <c:pt idx="0">
                  <c:v>47.902212938447306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7-71DE-44AD-A9B5-B9E7C7075ACC}"/>
            </c:ext>
          </c:extLst>
        </c:ser>
        <c:ser>
          <c:idx val="39"/>
          <c:order val="39"/>
          <c:tx>
            <c:strRef>
              <c:f>'Star Finder'!$AL$223</c:f>
              <c:strCache>
                <c:ptCount val="1"/>
                <c:pt idx="0">
                  <c:v>Markab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Finder'!$AM$223</c:f>
              <c:numCache>
                <c:formatCode>General</c:formatCode>
                <c:ptCount val="1"/>
                <c:pt idx="0">
                  <c:v>83.054208518558795</c:v>
                </c:pt>
              </c:numCache>
            </c:numRef>
          </c:xVal>
          <c:yVal>
            <c:numRef>
              <c:f>'Star Finder'!$AN$223</c:f>
              <c:numCache>
                <c:formatCode>General</c:formatCode>
                <c:ptCount val="1"/>
                <c:pt idx="0">
                  <c:v>16.554204619448551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8-71DE-44AD-A9B5-B9E7C7075ACC}"/>
            </c:ext>
          </c:extLst>
        </c:ser>
        <c:ser>
          <c:idx val="40"/>
          <c:order val="40"/>
          <c:tx>
            <c:strRef>
              <c:f>'Star Finder'!$AL$224</c:f>
              <c:strCache>
                <c:ptCount val="1"/>
                <c:pt idx="0">
                  <c:v>Mars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Finder'!$AM$224</c:f>
              <c:numCache>
                <c:formatCode>General</c:formatCode>
                <c:ptCount val="1"/>
                <c:pt idx="0">
                  <c:v>247.74271400134012</c:v>
                </c:pt>
              </c:numCache>
            </c:numRef>
          </c:xVal>
          <c:yVal>
            <c:numRef>
              <c:f>'Star Finder'!$AN$224</c:f>
              <c:numCache>
                <c:formatCode>General</c:formatCode>
                <c:ptCount val="1"/>
                <c:pt idx="0">
                  <c:v>13.863899606912542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2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9-71DE-44AD-A9B5-B9E7C7075ACC}"/>
            </c:ext>
          </c:extLst>
        </c:ser>
        <c:ser>
          <c:idx val="41"/>
          <c:order val="41"/>
          <c:tx>
            <c:strRef>
              <c:f>'Star Finder'!$AL$225</c:f>
              <c:strCache>
                <c:ptCount val="1"/>
                <c:pt idx="0">
                  <c:v>Menkar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Finder'!$AM$225</c:f>
              <c:numCache>
                <c:formatCode>General</c:formatCode>
                <c:ptCount val="1"/>
                <c:pt idx="0">
                  <c:v>50.941092409402287</c:v>
                </c:pt>
              </c:numCache>
            </c:numRef>
          </c:xVal>
          <c:yVal>
            <c:numRef>
              <c:f>'Star Finder'!$AN$225</c:f>
              <c:numCache>
                <c:formatCode>General</c:formatCode>
                <c:ptCount val="1"/>
                <c:pt idx="0">
                  <c:v>-34.367895375700456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A-71DE-44AD-A9B5-B9E7C7075ACC}"/>
            </c:ext>
          </c:extLst>
        </c:ser>
        <c:ser>
          <c:idx val="42"/>
          <c:order val="42"/>
          <c:tx>
            <c:strRef>
              <c:f>'Star Finder'!$AL$226</c:f>
              <c:strCache>
                <c:ptCount val="1"/>
                <c:pt idx="0">
                  <c:v>Menkent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Finder'!$AM$226</c:f>
              <c:numCache>
                <c:formatCode>General</c:formatCode>
                <c:ptCount val="1"/>
                <c:pt idx="0">
                  <c:v>220.53450252363518</c:v>
                </c:pt>
              </c:numCache>
            </c:numRef>
          </c:xVal>
          <c:yVal>
            <c:numRef>
              <c:f>'Star Finder'!$AN$226</c:f>
              <c:numCache>
                <c:formatCode>General</c:formatCode>
                <c:ptCount val="1"/>
                <c:pt idx="0">
                  <c:v>1.0107590112003011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B-71DE-44AD-A9B5-B9E7C7075ACC}"/>
            </c:ext>
          </c:extLst>
        </c:ser>
        <c:ser>
          <c:idx val="43"/>
          <c:order val="43"/>
          <c:tx>
            <c:strRef>
              <c:f>'Star Finder'!$AL$227</c:f>
              <c:strCache>
                <c:ptCount val="1"/>
                <c:pt idx="0">
                  <c:v>Miaplacidus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Finder'!$AM$227</c:f>
              <c:numCache>
                <c:formatCode>General</c:formatCode>
                <c:ptCount val="1"/>
                <c:pt idx="0">
                  <c:v>203.83254565419605</c:v>
                </c:pt>
              </c:numCache>
            </c:numRef>
          </c:xVal>
          <c:yVal>
            <c:numRef>
              <c:f>'Star Finder'!$AN$227</c:f>
              <c:numCache>
                <c:formatCode>General</c:formatCode>
                <c:ptCount val="1"/>
                <c:pt idx="0">
                  <c:v>-47.224726872297886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C-71DE-44AD-A9B5-B9E7C7075ACC}"/>
            </c:ext>
          </c:extLst>
        </c:ser>
        <c:ser>
          <c:idx val="44"/>
          <c:order val="44"/>
          <c:tx>
            <c:strRef>
              <c:f>'Star Finder'!$AL$228</c:f>
              <c:strCache>
                <c:ptCount val="1"/>
                <c:pt idx="0">
                  <c:v>Mirfak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Finder'!$AM$228</c:f>
              <c:numCache>
                <c:formatCode>General</c:formatCode>
                <c:ptCount val="1"/>
                <c:pt idx="0">
                  <c:v>21.372856591678072</c:v>
                </c:pt>
              </c:numCache>
            </c:numRef>
          </c:xVal>
          <c:yVal>
            <c:numRef>
              <c:f>'Star Finder'!$AN$228</c:f>
              <c:numCache>
                <c:formatCode>General</c:formatCode>
                <c:ptCount val="1"/>
                <c:pt idx="0">
                  <c:v>2.3073007062322604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D-71DE-44AD-A9B5-B9E7C7075ACC}"/>
            </c:ext>
          </c:extLst>
        </c:ser>
        <c:ser>
          <c:idx val="45"/>
          <c:order val="45"/>
          <c:tx>
            <c:strRef>
              <c:f>'Star Finder'!$AL$229</c:f>
              <c:strCache>
                <c:ptCount val="1"/>
                <c:pt idx="0">
                  <c:v>Nunki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Finder'!$AM$229</c:f>
              <c:numCache>
                <c:formatCode>General</c:formatCode>
                <c:ptCount val="1"/>
                <c:pt idx="0">
                  <c:v>162.08864691507392</c:v>
                </c:pt>
              </c:numCache>
            </c:numRef>
          </c:xVal>
          <c:yVal>
            <c:numRef>
              <c:f>'Star Finder'!$AN$229</c:f>
              <c:numCache>
                <c:formatCode>General</c:formatCode>
                <c:ptCount val="1"/>
                <c:pt idx="0">
                  <c:v>24.267838814096006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E-71DE-44AD-A9B5-B9E7C7075ACC}"/>
            </c:ext>
          </c:extLst>
        </c:ser>
        <c:ser>
          <c:idx val="46"/>
          <c:order val="46"/>
          <c:tx>
            <c:strRef>
              <c:f>'Star Finder'!$AL$230</c:f>
              <c:strCache>
                <c:ptCount val="1"/>
                <c:pt idx="0">
                  <c:v>Peacock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Finder'!$AM$230</c:f>
              <c:numCache>
                <c:formatCode>General</c:formatCode>
                <c:ptCount val="1"/>
                <c:pt idx="0">
                  <c:v>158.62995710195094</c:v>
                </c:pt>
              </c:numCache>
            </c:numRef>
          </c:xVal>
          <c:yVal>
            <c:numRef>
              <c:f>'Star Finder'!$AN$230</c:f>
              <c:numCache>
                <c:formatCode>General</c:formatCode>
                <c:ptCount val="1"/>
                <c:pt idx="0">
                  <c:v>-9.9834816538965505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F-71DE-44AD-A9B5-B9E7C7075ACC}"/>
            </c:ext>
          </c:extLst>
        </c:ser>
        <c:ser>
          <c:idx val="47"/>
          <c:order val="47"/>
          <c:tx>
            <c:strRef>
              <c:f>'Star Finder'!$AL$231</c:f>
              <c:strCache>
                <c:ptCount val="1"/>
                <c:pt idx="0">
                  <c:v>Pollux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Finder'!$AM$231</c:f>
              <c:numCache>
                <c:formatCode>General</c:formatCode>
                <c:ptCount val="1"/>
                <c:pt idx="0">
                  <c:v>331.49187070102732</c:v>
                </c:pt>
              </c:numCache>
            </c:numRef>
          </c:xVal>
          <c:yVal>
            <c:numRef>
              <c:f>'Star Finder'!$AN$231</c:f>
              <c:numCache>
                <c:formatCode>General</c:formatCode>
                <c:ptCount val="1"/>
                <c:pt idx="0">
                  <c:v>-18.71913225349661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30-71DE-44AD-A9B5-B9E7C7075ACC}"/>
            </c:ext>
          </c:extLst>
        </c:ser>
        <c:ser>
          <c:idx val="48"/>
          <c:order val="48"/>
          <c:tx>
            <c:strRef>
              <c:f>'Star Finder'!$AL$232</c:f>
              <c:strCache>
                <c:ptCount val="1"/>
                <c:pt idx="0">
                  <c:v>Procyon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Finder'!$AM$232</c:f>
              <c:numCache>
                <c:formatCode>General</c:formatCode>
                <c:ptCount val="1"/>
                <c:pt idx="0">
                  <c:v>320.79779941507201</c:v>
                </c:pt>
              </c:numCache>
            </c:numRef>
          </c:xVal>
          <c:yVal>
            <c:numRef>
              <c:f>'Star Finder'!$AN$232</c:f>
              <c:numCache>
                <c:formatCode>General</c:formatCode>
                <c:ptCount val="1"/>
                <c:pt idx="0">
                  <c:v>-39.611633393054518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31-71DE-44AD-A9B5-B9E7C7075ACC}"/>
            </c:ext>
          </c:extLst>
        </c:ser>
        <c:ser>
          <c:idx val="49"/>
          <c:order val="49"/>
          <c:tx>
            <c:strRef>
              <c:f>'Star Finder'!$AL$233</c:f>
              <c:strCache>
                <c:ptCount val="1"/>
                <c:pt idx="0">
                  <c:v>Rasalhague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Finder'!$AM$233</c:f>
              <c:numCache>
                <c:formatCode>General</c:formatCode>
                <c:ptCount val="1"/>
                <c:pt idx="0">
                  <c:v>184.2674476431574</c:v>
                </c:pt>
              </c:numCache>
            </c:numRef>
          </c:xVal>
          <c:yVal>
            <c:numRef>
              <c:f>'Star Finder'!$AN$233</c:f>
              <c:numCache>
                <c:formatCode>General</c:formatCode>
                <c:ptCount val="1"/>
                <c:pt idx="0">
                  <c:v>65.292378146651004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32-71DE-44AD-A9B5-B9E7C7075ACC}"/>
            </c:ext>
          </c:extLst>
        </c:ser>
        <c:ser>
          <c:idx val="50"/>
          <c:order val="50"/>
          <c:tx>
            <c:strRef>
              <c:f>'Star Finder'!$AL$234</c:f>
              <c:strCache>
                <c:ptCount val="1"/>
                <c:pt idx="0">
                  <c:v>Regulus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Finder'!$AM$234</c:f>
              <c:numCache>
                <c:formatCode>General</c:formatCode>
                <c:ptCount val="1"/>
                <c:pt idx="0">
                  <c:v>293.96538302513687</c:v>
                </c:pt>
              </c:numCache>
            </c:numRef>
          </c:xVal>
          <c:yVal>
            <c:numRef>
              <c:f>'Star Finder'!$AN$234</c:f>
              <c:numCache>
                <c:formatCode>General</c:formatCode>
                <c:ptCount val="1"/>
                <c:pt idx="0">
                  <c:v>-10.739335533532444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33-71DE-44AD-A9B5-B9E7C7075ACC}"/>
            </c:ext>
          </c:extLst>
        </c:ser>
        <c:ser>
          <c:idx val="51"/>
          <c:order val="51"/>
          <c:tx>
            <c:strRef>
              <c:f>'Star Finder'!$AL$235</c:f>
              <c:strCache>
                <c:ptCount val="1"/>
                <c:pt idx="0">
                  <c:v>Rigel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Finder'!$AM$235</c:f>
              <c:numCache>
                <c:formatCode>General</c:formatCode>
                <c:ptCount val="1"/>
                <c:pt idx="0">
                  <c:v>13.943614399766943</c:v>
                </c:pt>
              </c:numCache>
            </c:numRef>
          </c:xVal>
          <c:yVal>
            <c:numRef>
              <c:f>'Star Finder'!$AN$235</c:f>
              <c:numCache>
                <c:formatCode>General</c:formatCode>
                <c:ptCount val="1"/>
                <c:pt idx="0">
                  <c:v>-60.304512761344967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34-71DE-44AD-A9B5-B9E7C7075ACC}"/>
            </c:ext>
          </c:extLst>
        </c:ser>
        <c:ser>
          <c:idx val="52"/>
          <c:order val="52"/>
          <c:tx>
            <c:strRef>
              <c:f>'Star Finder'!$AL$236</c:f>
              <c:strCache>
                <c:ptCount val="1"/>
                <c:pt idx="0">
                  <c:v>Rigil Kent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Finder'!$AM$236</c:f>
              <c:numCache>
                <c:formatCode>General</c:formatCode>
                <c:ptCount val="1"/>
                <c:pt idx="0">
                  <c:v>201.10022005482924</c:v>
                </c:pt>
              </c:numCache>
            </c:numRef>
          </c:xVal>
          <c:yVal>
            <c:numRef>
              <c:f>'Star Finder'!$AN$236</c:f>
              <c:numCache>
                <c:formatCode>General</c:formatCode>
                <c:ptCount val="1"/>
                <c:pt idx="0">
                  <c:v>-14.972563420642544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35-71DE-44AD-A9B5-B9E7C7075ACC}"/>
            </c:ext>
          </c:extLst>
        </c:ser>
        <c:ser>
          <c:idx val="53"/>
          <c:order val="53"/>
          <c:tx>
            <c:strRef>
              <c:f>'Star Finder'!$AL$237</c:f>
              <c:strCache>
                <c:ptCount val="1"/>
                <c:pt idx="0">
                  <c:v>Sabik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Finder'!$AM$237</c:f>
              <c:numCache>
                <c:formatCode>General</c:formatCode>
                <c:ptCount val="1"/>
                <c:pt idx="0">
                  <c:v>189.58387418230873</c:v>
                </c:pt>
              </c:numCache>
            </c:numRef>
          </c:xVal>
          <c:yVal>
            <c:numRef>
              <c:f>'Star Finder'!$AN$237</c:f>
              <c:numCache>
                <c:formatCode>General</c:formatCode>
                <c:ptCount val="1"/>
                <c:pt idx="0">
                  <c:v>36.513953741950729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36-71DE-44AD-A9B5-B9E7C7075ACC}"/>
            </c:ext>
          </c:extLst>
        </c:ser>
        <c:ser>
          <c:idx val="54"/>
          <c:order val="54"/>
          <c:tx>
            <c:strRef>
              <c:f>'Star Finder'!$AL$238</c:f>
              <c:strCache>
                <c:ptCount val="1"/>
                <c:pt idx="0">
                  <c:v>Saturnus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Finder'!$AM$238</c:f>
              <c:numCache>
                <c:formatCode>General</c:formatCode>
                <c:ptCount val="1"/>
                <c:pt idx="0">
                  <c:v>89.352762307155132</c:v>
                </c:pt>
              </c:numCache>
            </c:numRef>
          </c:xVal>
          <c:yVal>
            <c:numRef>
              <c:f>'Star Finder'!$AN$238</c:f>
              <c:numCache>
                <c:formatCode>General</c:formatCode>
                <c:ptCount val="1"/>
                <c:pt idx="0">
                  <c:v>-5.1039619035513741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2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37-71DE-44AD-A9B5-B9E7C7075ACC}"/>
            </c:ext>
          </c:extLst>
        </c:ser>
        <c:ser>
          <c:idx val="55"/>
          <c:order val="55"/>
          <c:tx>
            <c:strRef>
              <c:f>'Star Finder'!$AL$239</c:f>
              <c:strCache>
                <c:ptCount val="1"/>
                <c:pt idx="0">
                  <c:v>Schedar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1"/>
          <c:xVal>
            <c:numRef>
              <c:f>'Star Finder'!$AM$239</c:f>
              <c:numCache>
                <c:formatCode>General</c:formatCode>
                <c:ptCount val="1"/>
                <c:pt idx="0">
                  <c:v>35.363800176344</c:v>
                </c:pt>
              </c:numCache>
            </c:numRef>
          </c:xVal>
          <c:yVal>
            <c:numRef>
              <c:f>'Star Finder'!$AN$239</c:f>
              <c:numCache>
                <c:formatCode>General</c:formatCode>
                <c:ptCount val="1"/>
                <c:pt idx="0">
                  <c:v>23.275527359243497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700">
                    <a:solidFill>
                      <a:srgbClr val="000000"/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38-71DE-44AD-A9B5-B9E7C7075ACC}"/>
            </c:ext>
          </c:extLst>
        </c:ser>
        <c:ser>
          <c:idx val="56"/>
          <c:order val="56"/>
          <c:tx>
            <c:strRef>
              <c:f>'Star Finder'!$AL$240</c:f>
              <c:strCache>
                <c:ptCount val="1"/>
                <c:pt idx="0">
                  <c:v>Shaula</c:v>
                </c:pt>
              </c:strCache>
            </c:strRef>
          </c:tx>
          <c:spPr>
            <a:pattFill prst="pct50">
              <a:fgClr>
                <a:srgbClr xmlns:mc="http://schemas.openxmlformats.org/markup-compatibility/2006" xmlns:a14="http://schemas.microsoft.com/office/drawing/2010/main" val="FFCC00" mc:Ignorable="a14" a14:legacySpreadsheetColorIndex="51"/>
              </a:fgClr>
              <a:bgClr>
                <a:srgbClr xmlns:mc="http://schemas.openxmlformats.org/markup-compatibility/2006" xmlns:a14="http://schemas.microsoft.com/office/drawing/2010/main" val="9999FF" mc:Ignorable="a14" a14:legacySpreadsheetColorIndex="24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Finder'!$AM$240</c:f>
              <c:numCache>
                <c:formatCode>General</c:formatCode>
                <c:ptCount val="1"/>
                <c:pt idx="0">
                  <c:v>181.82362637726649</c:v>
                </c:pt>
              </c:numCache>
            </c:numRef>
          </c:xVal>
          <c:yVal>
            <c:numRef>
              <c:f>'Star Finder'!$AN$240</c:f>
              <c:numCache>
                <c:formatCode>General</c:formatCode>
                <c:ptCount val="1"/>
                <c:pt idx="0">
                  <c:v>15.654483856306513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6="http://schemas.microsoft.com/office/drawing/2014/chart" uri="{C3380CC4-5D6E-409C-BE32-E72D297353CC}">
              <c16:uniqueId val="{00000039-71DE-44AD-A9B5-B9E7C7075ACC}"/>
            </c:ext>
          </c:extLst>
        </c:ser>
        <c:ser>
          <c:idx val="57"/>
          <c:order val="57"/>
          <c:tx>
            <c:strRef>
              <c:f>'Star Finder'!$AL$241</c:f>
              <c:strCache>
                <c:ptCount val="1"/>
                <c:pt idx="0">
                  <c:v>Sirius</c:v>
                </c:pt>
              </c:strCache>
            </c:strRef>
          </c:tx>
          <c:spPr>
            <a:pattFill prst="pct50">
              <a:fgClr>
                <a:srgbClr xmlns:mc="http://schemas.openxmlformats.org/markup-compatibility/2006" xmlns:a14="http://schemas.microsoft.com/office/drawing/2010/main" val="FFCC00" mc:Ignorable="a14" a14:legacySpreadsheetColorIndex="51"/>
              </a:fgClr>
              <a:bgClr>
                <a:srgbClr xmlns:mc="http://schemas.openxmlformats.org/markup-compatibility/2006" xmlns:a14="http://schemas.microsoft.com/office/drawing/2010/main" val="993366" mc:Ignorable="a14" a14:legacySpreadsheetColorIndex="25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Finder'!$AM$241</c:f>
              <c:numCache>
                <c:formatCode>General</c:formatCode>
                <c:ptCount val="1"/>
                <c:pt idx="0">
                  <c:v>321.63566583217289</c:v>
                </c:pt>
              </c:numCache>
            </c:numRef>
          </c:xVal>
          <c:yVal>
            <c:numRef>
              <c:f>'Star Finder'!$AN$241</c:f>
              <c:numCache>
                <c:formatCode>General</c:formatCode>
                <c:ptCount val="1"/>
                <c:pt idx="0">
                  <c:v>-65.283582096237524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6="http://schemas.microsoft.com/office/drawing/2014/chart" uri="{C3380CC4-5D6E-409C-BE32-E72D297353CC}">
              <c16:uniqueId val="{0000003A-71DE-44AD-A9B5-B9E7C7075ACC}"/>
            </c:ext>
          </c:extLst>
        </c:ser>
        <c:ser>
          <c:idx val="58"/>
          <c:order val="58"/>
          <c:tx>
            <c:strRef>
              <c:f>'Star Finder'!$AL$242</c:f>
              <c:strCache>
                <c:ptCount val="1"/>
                <c:pt idx="0">
                  <c:v>Spica</c:v>
                </c:pt>
              </c:strCache>
            </c:strRef>
          </c:tx>
          <c:spPr>
            <a:pattFill prst="pct50">
              <a:fgClr>
                <a:srgbClr xmlns:mc="http://schemas.openxmlformats.org/markup-compatibility/2006" xmlns:a14="http://schemas.microsoft.com/office/drawing/2010/main" val="FFCC00" mc:Ignorable="a14" a14:legacySpreadsheetColorIndex="51"/>
              </a:fgClr>
              <a:bgClr>
                <a:srgbClr xmlns:mc="http://schemas.openxmlformats.org/markup-compatibility/2006" xmlns:a14="http://schemas.microsoft.com/office/drawing/2010/main" val="FFFFCC" mc:Ignorable="a14" a14:legacySpreadsheetColorIndex="26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Finder'!$AM$242</c:f>
              <c:numCache>
                <c:formatCode>General</c:formatCode>
                <c:ptCount val="1"/>
                <c:pt idx="0">
                  <c:v>244.92824249213581</c:v>
                </c:pt>
              </c:numCache>
            </c:numRef>
          </c:xVal>
          <c:yVal>
            <c:numRef>
              <c:f>'Star Finder'!$AN$242</c:f>
              <c:numCache>
                <c:formatCode>General</c:formatCode>
                <c:ptCount val="1"/>
                <c:pt idx="0">
                  <c:v>12.750131695318478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6="http://schemas.microsoft.com/office/drawing/2014/chart" uri="{C3380CC4-5D6E-409C-BE32-E72D297353CC}">
              <c16:uniqueId val="{0000003B-71DE-44AD-A9B5-B9E7C7075ACC}"/>
            </c:ext>
          </c:extLst>
        </c:ser>
        <c:ser>
          <c:idx val="59"/>
          <c:order val="59"/>
          <c:tx>
            <c:strRef>
              <c:f>'Star Finder'!$AL$243</c:f>
              <c:strCache>
                <c:ptCount val="1"/>
                <c:pt idx="0">
                  <c:v>Suhail</c:v>
                </c:pt>
              </c:strCache>
            </c:strRef>
          </c:tx>
          <c:spPr>
            <a:pattFill prst="pct50">
              <a:fgClr>
                <a:srgbClr xmlns:mc="http://schemas.openxmlformats.org/markup-compatibility/2006" xmlns:a14="http://schemas.microsoft.com/office/drawing/2010/main" val="FFCC00" mc:Ignorable="a14" a14:legacySpreadsheetColorIndex="51"/>
              </a:fgClr>
              <a:bgClr>
                <a:srgbClr xmlns:mc="http://schemas.openxmlformats.org/markup-compatibility/2006" xmlns:a14="http://schemas.microsoft.com/office/drawing/2010/main" val="CCFFFF" mc:Ignorable="a14" a14:legacySpreadsheetColorIndex="27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Finder'!$AM$243</c:f>
              <c:numCache>
                <c:formatCode>General</c:formatCode>
                <c:ptCount val="1"/>
                <c:pt idx="0">
                  <c:v>244.09184043039315</c:v>
                </c:pt>
              </c:numCache>
            </c:numRef>
          </c:xVal>
          <c:yVal>
            <c:numRef>
              <c:f>'Star Finder'!$AN$243</c:f>
              <c:numCache>
                <c:formatCode>General</c:formatCode>
                <c:ptCount val="1"/>
                <c:pt idx="0">
                  <c:v>-50.944944688204863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6="http://schemas.microsoft.com/office/drawing/2014/chart" uri="{C3380CC4-5D6E-409C-BE32-E72D297353CC}">
              <c16:uniqueId val="{0000003C-71DE-44AD-A9B5-B9E7C7075ACC}"/>
            </c:ext>
          </c:extLst>
        </c:ser>
        <c:ser>
          <c:idx val="60"/>
          <c:order val="60"/>
          <c:tx>
            <c:strRef>
              <c:f>'Star Finder'!$AL$244</c:f>
              <c:strCache>
                <c:ptCount val="1"/>
                <c:pt idx="0">
                  <c:v>Vega</c:v>
                </c:pt>
              </c:strCache>
            </c:strRef>
          </c:tx>
          <c:spPr>
            <a:pattFill prst="pct50">
              <a:fgClr>
                <a:srgbClr xmlns:mc="http://schemas.openxmlformats.org/markup-compatibility/2006" xmlns:a14="http://schemas.microsoft.com/office/drawing/2010/main" val="FFCC00" mc:Ignorable="a14" a14:legacySpreadsheetColorIndex="51"/>
              </a:fgClr>
              <a:bgClr>
                <a:srgbClr xmlns:mc="http://schemas.openxmlformats.org/markup-compatibility/2006" xmlns:a14="http://schemas.microsoft.com/office/drawing/2010/main" val="660066" mc:Ignorable="a14" a14:legacySpreadsheetColorIndex="28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Finder'!$AM$244</c:f>
              <c:numCache>
                <c:formatCode>General</c:formatCode>
                <c:ptCount val="1"/>
                <c:pt idx="0">
                  <c:v>77.345326064005619</c:v>
                </c:pt>
              </c:numCache>
            </c:numRef>
          </c:xVal>
          <c:yVal>
            <c:numRef>
              <c:f>'Star Finder'!$AN$244</c:f>
              <c:numCache>
                <c:formatCode>General</c:formatCode>
                <c:ptCount val="1"/>
                <c:pt idx="0">
                  <c:v>79.09742315128014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6="http://schemas.microsoft.com/office/drawing/2014/chart" uri="{C3380CC4-5D6E-409C-BE32-E72D297353CC}">
              <c16:uniqueId val="{0000003D-71DE-44AD-A9B5-B9E7C7075ACC}"/>
            </c:ext>
          </c:extLst>
        </c:ser>
        <c:ser>
          <c:idx val="61"/>
          <c:order val="61"/>
          <c:tx>
            <c:strRef>
              <c:f>'Star Finder'!$AL$245</c:f>
              <c:strCache>
                <c:ptCount val="1"/>
                <c:pt idx="0">
                  <c:v>Venus</c:v>
                </c:pt>
              </c:strCache>
            </c:strRef>
          </c:tx>
          <c:spPr>
            <a:pattFill prst="pct50">
              <a:fgClr>
                <a:srgbClr xmlns:mc="http://schemas.openxmlformats.org/markup-compatibility/2006" xmlns:a14="http://schemas.microsoft.com/office/drawing/2010/main" val="FF8080" mc:Ignorable="a14" a14:legacySpreadsheetColorIndex="29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Finder'!$AM$245</c:f>
              <c:numCache>
                <c:formatCode>General</c:formatCode>
                <c:ptCount val="1"/>
                <c:pt idx="0">
                  <c:v>304.16125171822989</c:v>
                </c:pt>
              </c:numCache>
            </c:numRef>
          </c:xVal>
          <c:yVal>
            <c:numRef>
              <c:f>'Star Finder'!$AN$245</c:f>
              <c:numCache>
                <c:formatCode>General</c:formatCode>
                <c:ptCount val="1"/>
                <c:pt idx="0">
                  <c:v>-15.508893032176401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2</c:v>
              </c:pt>
            </c:numLit>
          </c:bubbleSize>
          <c:bubble3D val="1"/>
          <c:extLst>
            <c:ext xmlns:c16="http://schemas.microsoft.com/office/drawing/2014/chart" uri="{C3380CC4-5D6E-409C-BE32-E72D297353CC}">
              <c16:uniqueId val="{0000003E-71DE-44AD-A9B5-B9E7C7075ACC}"/>
            </c:ext>
          </c:extLst>
        </c:ser>
        <c:ser>
          <c:idx val="62"/>
          <c:order val="62"/>
          <c:tx>
            <c:strRef>
              <c:f>'Star Finder'!$AL$246</c:f>
              <c:strCache>
                <c:ptCount val="1"/>
                <c:pt idx="0">
                  <c:v>Zuben'ubi</c:v>
                </c:pt>
              </c:strCache>
            </c:strRef>
          </c:tx>
          <c:spPr>
            <a:pattFill prst="pct50">
              <a:fgClr>
                <a:srgbClr xmlns:mc="http://schemas.openxmlformats.org/markup-compatibility/2006" xmlns:a14="http://schemas.microsoft.com/office/drawing/2010/main" val="FFCC00" mc:Ignorable="a14" a14:legacySpreadsheetColorIndex="51"/>
              </a:fgClr>
              <a:bgClr>
                <a:srgbClr xmlns:mc="http://schemas.openxmlformats.org/markup-compatibility/2006" xmlns:a14="http://schemas.microsoft.com/office/drawing/2010/main" val="000000" mc:Ignorable="a14" a14:legacySpreadsheetColorIndex="8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1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endParaRPr lang="fa-I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'Star Finder'!$AM$246</c:f>
              <c:numCache>
                <c:formatCode>General</c:formatCode>
                <c:ptCount val="1"/>
                <c:pt idx="0">
                  <c:v>225.27548031926227</c:v>
                </c:pt>
              </c:numCache>
            </c:numRef>
          </c:xVal>
          <c:yVal>
            <c:numRef>
              <c:f>'Star Finder'!$AN$246</c:f>
              <c:numCache>
                <c:formatCode>General</c:formatCode>
                <c:ptCount val="1"/>
                <c:pt idx="0">
                  <c:v>23.125800108672177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1</c:v>
              </c:pt>
            </c:numLit>
          </c:bubbleSize>
          <c:bubble3D val="1"/>
          <c:extLst>
            <c:ext xmlns:c16="http://schemas.microsoft.com/office/drawing/2014/chart" uri="{C3380CC4-5D6E-409C-BE32-E72D297353CC}">
              <c16:uniqueId val="{0000003F-71DE-44AD-A9B5-B9E7C7075ACC}"/>
            </c:ext>
          </c:extLst>
        </c:ser>
        <c:ser>
          <c:idx val="63"/>
          <c:order val="63"/>
          <c:tx>
            <c:v>bal</c:v>
          </c:tx>
          <c:spPr>
            <a:pattFill prst="pct50">
              <a:fgClr>
                <a:srgbClr xmlns:mc="http://schemas.openxmlformats.org/markup-compatibility/2006" xmlns:a14="http://schemas.microsoft.com/office/drawing/2010/main" val="000C46" mc:Ignorable="a14" a14:legacySpreadsheetColorIndex="31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xVal>
            <c:numLit>
              <c:formatCode>General</c:formatCode>
              <c:ptCount val="1"/>
              <c:pt idx="0">
                <c:v>0</c:v>
              </c:pt>
            </c:numLit>
          </c:xVal>
          <c:yVal>
            <c:numLit>
              <c:formatCode>General</c:formatCode>
              <c:ptCount val="1"/>
              <c:pt idx="0">
                <c:v>-80</c:v>
              </c:pt>
            </c:numLit>
          </c:yVal>
          <c:bubbleSize>
            <c:numLit>
              <c:formatCode>General</c:formatCode>
              <c:ptCount val="1"/>
              <c:pt idx="0">
                <c:v>50</c:v>
              </c:pt>
            </c:numLit>
          </c:bubbleSize>
          <c:bubble3D val="1"/>
          <c:extLst>
            <c:ext xmlns:c16="http://schemas.microsoft.com/office/drawing/2014/chart" uri="{C3380CC4-5D6E-409C-BE32-E72D297353CC}">
              <c16:uniqueId val="{00000040-71DE-44AD-A9B5-B9E7C7075A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86443520"/>
        <c:axId val="86445440"/>
      </c:bubbleChart>
      <c:valAx>
        <c:axId val="86443520"/>
        <c:scaling>
          <c:orientation val="minMax"/>
          <c:max val="36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Azimuth (degrees)</a:t>
                </a:r>
              </a:p>
            </c:rich>
          </c:tx>
          <c:layout>
            <c:manualLayout>
              <c:xMode val="edge"/>
              <c:yMode val="edge"/>
              <c:x val="0.44291107842288946"/>
              <c:y val="0.94262341609212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FF99CC"/>
                </a:solidFill>
                <a:latin typeface="Arial"/>
                <a:ea typeface="Arial"/>
                <a:cs typeface="Arial"/>
              </a:defRPr>
            </a:pPr>
            <a:endParaRPr lang="fa-IR"/>
          </a:p>
        </c:txPr>
        <c:crossAx val="86445440"/>
        <c:crosses val="autoZero"/>
        <c:crossBetween val="midCat"/>
        <c:majorUnit val="30"/>
        <c:minorUnit val="10"/>
      </c:valAx>
      <c:valAx>
        <c:axId val="86445440"/>
        <c:scaling>
          <c:orientation val="minMax"/>
          <c:max val="9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25" b="0" i="0" u="none" strike="noStrike" baseline="0">
                    <a:solidFill>
                      <a:srgbClr val="FF99CC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Altitude (degrees)</a:t>
                </a:r>
              </a:p>
            </c:rich>
          </c:tx>
          <c:layout>
            <c:manualLayout>
              <c:xMode val="edge"/>
              <c:yMode val="edge"/>
              <c:x val="6.4998125234345706E-3"/>
              <c:y val="0.359270868653380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FF99CC"/>
                </a:solidFill>
                <a:latin typeface="Arial"/>
                <a:ea typeface="Arial"/>
                <a:cs typeface="Arial"/>
              </a:defRPr>
            </a:pPr>
            <a:endParaRPr lang="fa-IR"/>
          </a:p>
        </c:txPr>
        <c:crossAx val="86443520"/>
        <c:crosses val="autoZero"/>
        <c:crossBetween val="midCat"/>
        <c:majorUnit val="10"/>
      </c:valAx>
      <c:spPr>
        <a:solidFill>
          <a:srgbClr val="000C46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FF99CC"/>
          </a:solidFill>
          <a:latin typeface="Arial"/>
          <a:ea typeface="Arial"/>
          <a:cs typeface="Arial"/>
        </a:defRPr>
      </a:pPr>
      <a:endParaRPr lang="fa-IR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657225</xdr:colOff>
      <xdr:row>7</xdr:row>
      <xdr:rowOff>9525</xdr:rowOff>
    </xdr:from>
    <xdr:to>
      <xdr:col>11</xdr:col>
      <xdr:colOff>400050</xdr:colOff>
      <xdr:row>13</xdr:row>
      <xdr:rowOff>21587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8C68CA9-35A4-423C-BFCB-FCB49A5C0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829425" y="1895475"/>
          <a:ext cx="1114425" cy="16122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152400</xdr:colOff>
      <xdr:row>8</xdr:row>
      <xdr:rowOff>161925</xdr:rowOff>
    </xdr:from>
    <xdr:to>
      <xdr:col>22</xdr:col>
      <xdr:colOff>142875</xdr:colOff>
      <xdr:row>33</xdr:row>
      <xdr:rowOff>66675</xdr:rowOff>
    </xdr:to>
    <xdr:graphicFrame macro="">
      <xdr:nvGraphicFramePr>
        <xdr:cNvPr id="18888" name="Диаграмма 18">
          <a:extLst>
            <a:ext uri="{FF2B5EF4-FFF2-40B4-BE49-F238E27FC236}">
              <a16:creationId xmlns:a16="http://schemas.microsoft.com/office/drawing/2014/main" id="{73ED9E1A-FECB-460C-831F-C936A43E16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171450</xdr:colOff>
      <xdr:row>24</xdr:row>
      <xdr:rowOff>28575</xdr:rowOff>
    </xdr:from>
    <xdr:to>
      <xdr:col>28</xdr:col>
      <xdr:colOff>304800</xdr:colOff>
      <xdr:row>56</xdr:row>
      <xdr:rowOff>85725</xdr:rowOff>
    </xdr:to>
    <xdr:grpSp>
      <xdr:nvGrpSpPr>
        <xdr:cNvPr id="244858" name="Group 27">
          <a:extLst>
            <a:ext uri="{FF2B5EF4-FFF2-40B4-BE49-F238E27FC236}">
              <a16:creationId xmlns:a16="http://schemas.microsoft.com/office/drawing/2014/main" id="{450C929C-8A66-40DC-A806-CFC543E33804}"/>
            </a:ext>
          </a:extLst>
        </xdr:cNvPr>
        <xdr:cNvGrpSpPr>
          <a:grpSpLocks/>
        </xdr:cNvGrpSpPr>
      </xdr:nvGrpSpPr>
      <xdr:grpSpPr bwMode="auto">
        <a:xfrm>
          <a:off x="5257800" y="3019425"/>
          <a:ext cx="4448175" cy="3400425"/>
          <a:chOff x="568" y="283"/>
          <a:chExt cx="467" cy="334"/>
        </a:xfrm>
      </xdr:grpSpPr>
      <xdr:sp macro="" textlink="">
        <xdr:nvSpPr>
          <xdr:cNvPr id="244870" name="Rectangle 3">
            <a:extLst>
              <a:ext uri="{FF2B5EF4-FFF2-40B4-BE49-F238E27FC236}">
                <a16:creationId xmlns:a16="http://schemas.microsoft.com/office/drawing/2014/main" id="{08CF61F5-829F-498D-9548-FF15F71C147A}"/>
              </a:ext>
            </a:extLst>
          </xdr:cNvPr>
          <xdr:cNvSpPr>
            <a:spLocks noChangeArrowheads="1"/>
          </xdr:cNvSpPr>
        </xdr:nvSpPr>
        <xdr:spPr bwMode="auto">
          <a:xfrm>
            <a:off x="568" y="283"/>
            <a:ext cx="467" cy="334"/>
          </a:xfrm>
          <a:prstGeom prst="rect">
            <a:avLst/>
          </a:prstGeom>
          <a:noFill/>
          <a:ln w="158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</a:extLst>
        </xdr:spPr>
      </xdr:sp>
      <xdr:pic>
        <xdr:nvPicPr>
          <xdr:cNvPr id="244871" name="Picture 26" descr="untitled">
            <a:extLst>
              <a:ext uri="{FF2B5EF4-FFF2-40B4-BE49-F238E27FC236}">
                <a16:creationId xmlns:a16="http://schemas.microsoft.com/office/drawing/2014/main" id="{B8090AC8-DEE1-4DBE-A484-40D152CB334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email">
            <a:extLst>
              <a:ext uri="{28A0092B-C50C-407E-A947-70E740481C1C}">
                <a14:useLocalDpi xmlns:a14="http://schemas.microsoft.com/office/drawing/2010/main"/>
              </a:ext>
            </a:extLst>
          </a:blip>
          <a:srcRect/>
          <a:stretch>
            <a:fillRect/>
          </a:stretch>
        </xdr:blipFill>
        <xdr:spPr bwMode="auto">
          <a:xfrm>
            <a:off x="572" y="287"/>
            <a:ext cx="460" cy="3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13</xdr:col>
      <xdr:colOff>371475</xdr:colOff>
      <xdr:row>12</xdr:row>
      <xdr:rowOff>66675</xdr:rowOff>
    </xdr:from>
    <xdr:to>
      <xdr:col>28</xdr:col>
      <xdr:colOff>314325</xdr:colOff>
      <xdr:row>55</xdr:row>
      <xdr:rowOff>142875</xdr:rowOff>
    </xdr:to>
    <xdr:sp macro="" textlink="">
      <xdr:nvSpPr>
        <xdr:cNvPr id="244859" name="Line 5">
          <a:extLst>
            <a:ext uri="{FF2B5EF4-FFF2-40B4-BE49-F238E27FC236}">
              <a16:creationId xmlns:a16="http://schemas.microsoft.com/office/drawing/2014/main" id="{956938EA-A0F1-4954-A6FF-B76AFAC3B3F9}"/>
            </a:ext>
          </a:extLst>
        </xdr:cNvPr>
        <xdr:cNvSpPr>
          <a:spLocks noChangeShapeType="1"/>
        </xdr:cNvSpPr>
      </xdr:nvSpPr>
      <xdr:spPr bwMode="auto">
        <a:xfrm flipV="1">
          <a:off x="5191125" y="2152650"/>
          <a:ext cx="4791075" cy="36290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123825</xdr:colOff>
      <xdr:row>37</xdr:row>
      <xdr:rowOff>76200</xdr:rowOff>
    </xdr:from>
    <xdr:to>
      <xdr:col>24</xdr:col>
      <xdr:colOff>266700</xdr:colOff>
      <xdr:row>46</xdr:row>
      <xdr:rowOff>0</xdr:rowOff>
    </xdr:to>
    <xdr:sp macro="" textlink="">
      <xdr:nvSpPr>
        <xdr:cNvPr id="244860" name="Line 6">
          <a:extLst>
            <a:ext uri="{FF2B5EF4-FFF2-40B4-BE49-F238E27FC236}">
              <a16:creationId xmlns:a16="http://schemas.microsoft.com/office/drawing/2014/main" id="{324437FE-2996-4B96-89E6-698F36B43E7E}"/>
            </a:ext>
          </a:extLst>
        </xdr:cNvPr>
        <xdr:cNvSpPr>
          <a:spLocks noChangeShapeType="1"/>
        </xdr:cNvSpPr>
      </xdr:nvSpPr>
      <xdr:spPr bwMode="auto">
        <a:xfrm flipV="1">
          <a:off x="7124700" y="3524250"/>
          <a:ext cx="676275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133350</xdr:colOff>
      <xdr:row>36</xdr:row>
      <xdr:rowOff>85725</xdr:rowOff>
    </xdr:from>
    <xdr:to>
      <xdr:col>20</xdr:col>
      <xdr:colOff>133350</xdr:colOff>
      <xdr:row>54</xdr:row>
      <xdr:rowOff>19050</xdr:rowOff>
    </xdr:to>
    <xdr:grpSp>
      <xdr:nvGrpSpPr>
        <xdr:cNvPr id="244861" name="Group 17">
          <a:extLst>
            <a:ext uri="{FF2B5EF4-FFF2-40B4-BE49-F238E27FC236}">
              <a16:creationId xmlns:a16="http://schemas.microsoft.com/office/drawing/2014/main" id="{3E0C6650-AC6D-4A3C-870F-DA445B9F3121}"/>
            </a:ext>
          </a:extLst>
        </xdr:cNvPr>
        <xdr:cNvGrpSpPr>
          <a:grpSpLocks/>
        </xdr:cNvGrpSpPr>
      </xdr:nvGrpSpPr>
      <xdr:grpSpPr bwMode="auto">
        <a:xfrm>
          <a:off x="133350" y="3695700"/>
          <a:ext cx="5086350" cy="2266950"/>
          <a:chOff x="14" y="347"/>
          <a:chExt cx="618" cy="188"/>
        </a:xfrm>
      </xdr:grpSpPr>
      <xdr:sp macro="" textlink="">
        <xdr:nvSpPr>
          <xdr:cNvPr id="244867" name="Line 11">
            <a:extLst>
              <a:ext uri="{FF2B5EF4-FFF2-40B4-BE49-F238E27FC236}">
                <a16:creationId xmlns:a16="http://schemas.microsoft.com/office/drawing/2014/main" id="{1613F21F-77E1-4CE9-A98E-8377B9960132}"/>
              </a:ext>
            </a:extLst>
          </xdr:cNvPr>
          <xdr:cNvSpPr>
            <a:spLocks noChangeShapeType="1"/>
          </xdr:cNvSpPr>
        </xdr:nvSpPr>
        <xdr:spPr bwMode="auto">
          <a:xfrm>
            <a:off x="15" y="347"/>
            <a:ext cx="40" cy="0"/>
          </a:xfrm>
          <a:prstGeom prst="line">
            <a:avLst/>
          </a:prstGeom>
          <a:noFill/>
          <a:ln w="190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4868" name="Line 12">
            <a:extLst>
              <a:ext uri="{FF2B5EF4-FFF2-40B4-BE49-F238E27FC236}">
                <a16:creationId xmlns:a16="http://schemas.microsoft.com/office/drawing/2014/main" id="{A63984FA-D825-4926-8ED3-7410828389B8}"/>
              </a:ext>
            </a:extLst>
          </xdr:cNvPr>
          <xdr:cNvSpPr>
            <a:spLocks noChangeShapeType="1"/>
          </xdr:cNvSpPr>
        </xdr:nvSpPr>
        <xdr:spPr bwMode="auto">
          <a:xfrm>
            <a:off x="14" y="347"/>
            <a:ext cx="0" cy="188"/>
          </a:xfrm>
          <a:prstGeom prst="line">
            <a:avLst/>
          </a:prstGeom>
          <a:noFill/>
          <a:ln w="190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4869" name="Line 14">
            <a:extLst>
              <a:ext uri="{FF2B5EF4-FFF2-40B4-BE49-F238E27FC236}">
                <a16:creationId xmlns:a16="http://schemas.microsoft.com/office/drawing/2014/main" id="{DE4EC7D1-87E8-4703-A1D9-4750122C0B6C}"/>
              </a:ext>
            </a:extLst>
          </xdr:cNvPr>
          <xdr:cNvSpPr>
            <a:spLocks noChangeShapeType="1"/>
          </xdr:cNvSpPr>
        </xdr:nvSpPr>
        <xdr:spPr bwMode="auto">
          <a:xfrm flipH="1">
            <a:off x="14" y="535"/>
            <a:ext cx="618" cy="0"/>
          </a:xfrm>
          <a:prstGeom prst="line">
            <a:avLst/>
          </a:prstGeom>
          <a:noFill/>
          <a:ln w="190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triangle" w="med" len="med"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20</xdr:col>
      <xdr:colOff>190500</xdr:colOff>
      <xdr:row>54</xdr:row>
      <xdr:rowOff>0</xdr:rowOff>
    </xdr:from>
    <xdr:to>
      <xdr:col>20</xdr:col>
      <xdr:colOff>266700</xdr:colOff>
      <xdr:row>54</xdr:row>
      <xdr:rowOff>76200</xdr:rowOff>
    </xdr:to>
    <xdr:sp macro="" textlink="">
      <xdr:nvSpPr>
        <xdr:cNvPr id="244862" name="Oval 18">
          <a:extLst>
            <a:ext uri="{FF2B5EF4-FFF2-40B4-BE49-F238E27FC236}">
              <a16:creationId xmlns:a16="http://schemas.microsoft.com/office/drawing/2014/main" id="{EF2B061C-5D40-47C3-88A1-1DF99BB462CF}"/>
            </a:ext>
          </a:extLst>
        </xdr:cNvPr>
        <xdr:cNvSpPr>
          <a:spLocks noChangeArrowheads="1"/>
        </xdr:cNvSpPr>
      </xdr:nvSpPr>
      <xdr:spPr bwMode="auto">
        <a:xfrm>
          <a:off x="5543550" y="5457825"/>
          <a:ext cx="76200" cy="76200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11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27</xdr:col>
      <xdr:colOff>28575</xdr:colOff>
      <xdr:row>24</xdr:row>
      <xdr:rowOff>38100</xdr:rowOff>
    </xdr:from>
    <xdr:to>
      <xdr:col>27</xdr:col>
      <xdr:colOff>104775</xdr:colOff>
      <xdr:row>24</xdr:row>
      <xdr:rowOff>114300</xdr:rowOff>
    </xdr:to>
    <xdr:sp macro="" textlink="">
      <xdr:nvSpPr>
        <xdr:cNvPr id="244863" name="Oval 19">
          <a:extLst>
            <a:ext uri="{FF2B5EF4-FFF2-40B4-BE49-F238E27FC236}">
              <a16:creationId xmlns:a16="http://schemas.microsoft.com/office/drawing/2014/main" id="{1FD628BC-00A0-470D-BD92-1D66D8A1D2FD}"/>
            </a:ext>
          </a:extLst>
        </xdr:cNvPr>
        <xdr:cNvSpPr>
          <a:spLocks noChangeArrowheads="1"/>
        </xdr:cNvSpPr>
      </xdr:nvSpPr>
      <xdr:spPr bwMode="auto">
        <a:xfrm>
          <a:off x="9163050" y="2705100"/>
          <a:ext cx="76200" cy="76200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11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23</xdr:row>
      <xdr:rowOff>57150</xdr:rowOff>
    </xdr:from>
    <xdr:to>
      <xdr:col>27</xdr:col>
      <xdr:colOff>0</xdr:colOff>
      <xdr:row>24</xdr:row>
      <xdr:rowOff>47625</xdr:rowOff>
    </xdr:to>
    <xdr:grpSp>
      <xdr:nvGrpSpPr>
        <xdr:cNvPr id="244864" name="Group 22">
          <a:extLst>
            <a:ext uri="{FF2B5EF4-FFF2-40B4-BE49-F238E27FC236}">
              <a16:creationId xmlns:a16="http://schemas.microsoft.com/office/drawing/2014/main" id="{72C8FE25-FE20-49B2-AC93-774169EEDF54}"/>
            </a:ext>
          </a:extLst>
        </xdr:cNvPr>
        <xdr:cNvGrpSpPr>
          <a:grpSpLocks/>
        </xdr:cNvGrpSpPr>
      </xdr:nvGrpSpPr>
      <xdr:grpSpPr bwMode="auto">
        <a:xfrm>
          <a:off x="2524125" y="2847975"/>
          <a:ext cx="6343650" cy="190500"/>
          <a:chOff x="259" y="265"/>
          <a:chExt cx="658" cy="19"/>
        </a:xfrm>
      </xdr:grpSpPr>
      <xdr:sp macro="" textlink="">
        <xdr:nvSpPr>
          <xdr:cNvPr id="244865" name="Line 20">
            <a:extLst>
              <a:ext uri="{FF2B5EF4-FFF2-40B4-BE49-F238E27FC236}">
                <a16:creationId xmlns:a16="http://schemas.microsoft.com/office/drawing/2014/main" id="{2F391BAC-04C1-4AEF-B7F9-150C90534642}"/>
              </a:ext>
            </a:extLst>
          </xdr:cNvPr>
          <xdr:cNvSpPr>
            <a:spLocks noChangeShapeType="1"/>
          </xdr:cNvSpPr>
        </xdr:nvSpPr>
        <xdr:spPr bwMode="auto">
          <a:xfrm>
            <a:off x="259" y="265"/>
            <a:ext cx="543" cy="0"/>
          </a:xfrm>
          <a:prstGeom prst="line">
            <a:avLst/>
          </a:prstGeom>
          <a:noFill/>
          <a:ln w="190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4866" name="Line 21">
            <a:extLst>
              <a:ext uri="{FF2B5EF4-FFF2-40B4-BE49-F238E27FC236}">
                <a16:creationId xmlns:a16="http://schemas.microsoft.com/office/drawing/2014/main" id="{D0DA07F7-2F9B-420A-8665-489F56AE65E9}"/>
              </a:ext>
            </a:extLst>
          </xdr:cNvPr>
          <xdr:cNvSpPr>
            <a:spLocks noChangeShapeType="1"/>
          </xdr:cNvSpPr>
        </xdr:nvSpPr>
        <xdr:spPr bwMode="auto">
          <a:xfrm>
            <a:off x="802" y="265"/>
            <a:ext cx="115" cy="19"/>
          </a:xfrm>
          <a:prstGeom prst="line">
            <a:avLst/>
          </a:prstGeom>
          <a:noFill/>
          <a:ln w="190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/>
  </sheetPr>
  <dimension ref="B1:N9"/>
  <sheetViews>
    <sheetView showGridLines="0" showRowColHeaders="0" workbookViewId="0">
      <selection activeCell="F17" sqref="F17"/>
    </sheetView>
  </sheetViews>
  <sheetFormatPr defaultColWidth="12" defaultRowHeight="20.25"/>
  <cols>
    <col min="2" max="2" width="12" style="150"/>
  </cols>
  <sheetData>
    <row r="1" spans="2:14" ht="22.5">
      <c r="B1" s="388" t="s">
        <v>401</v>
      </c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</row>
    <row r="4" spans="2:14">
      <c r="B4" s="150" t="s">
        <v>385</v>
      </c>
    </row>
    <row r="5" spans="2:14">
      <c r="B5" s="150" t="s">
        <v>386</v>
      </c>
    </row>
    <row r="7" spans="2:14">
      <c r="B7" s="151" t="s">
        <v>384</v>
      </c>
    </row>
    <row r="8" spans="2:14">
      <c r="C8" s="335" t="s">
        <v>402</v>
      </c>
    </row>
    <row r="9" spans="2:14">
      <c r="C9" s="335" t="s">
        <v>403</v>
      </c>
    </row>
  </sheetData>
  <sheetProtection password="CF7A" sheet="1" objects="1" scenarios="1" selectLockedCells="1"/>
  <mergeCells count="1">
    <mergeCell ref="B1:N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92D050"/>
  </sheetPr>
  <dimension ref="A1:AE101"/>
  <sheetViews>
    <sheetView showGridLines="0" showRowColHeaders="0" topLeftCell="A16" zoomScaleNormal="100" workbookViewId="0">
      <selection activeCell="F54" sqref="F54:G54"/>
    </sheetView>
  </sheetViews>
  <sheetFormatPr defaultColWidth="0" defaultRowHeight="15.75"/>
  <cols>
    <col min="1" max="1" width="10.6640625" style="83" customWidth="1"/>
    <col min="2" max="2" width="6.83203125" style="83" customWidth="1"/>
    <col min="3" max="5" width="10.6640625" style="83" customWidth="1"/>
    <col min="6" max="6" width="16.6640625" style="83" customWidth="1"/>
    <col min="7" max="7" width="12.1640625" style="83" customWidth="1"/>
    <col min="8" max="8" width="5.1640625" style="83" customWidth="1"/>
    <col min="9" max="9" width="13" style="83" customWidth="1"/>
    <col min="10" max="10" width="30.33203125" style="83" customWidth="1"/>
    <col min="11" max="26" width="10.6640625" style="60" hidden="1" customWidth="1"/>
    <col min="27" max="27" width="12.33203125" style="60" hidden="1" customWidth="1"/>
    <col min="28" max="16384" width="10.6640625" style="60" hidden="1"/>
  </cols>
  <sheetData>
    <row r="1" spans="1:27">
      <c r="A1" s="407" t="s">
        <v>329</v>
      </c>
      <c r="B1" s="407"/>
      <c r="C1" s="407"/>
      <c r="D1" s="407"/>
      <c r="E1" s="407"/>
      <c r="F1" s="407"/>
      <c r="G1" s="407"/>
      <c r="H1" s="407"/>
      <c r="I1" s="407"/>
      <c r="J1" s="407"/>
    </row>
    <row r="2" spans="1:27" ht="10.5" customHeight="1">
      <c r="A2" s="407"/>
      <c r="B2" s="407"/>
      <c r="C2" s="407"/>
      <c r="D2" s="407"/>
      <c r="E2" s="407"/>
      <c r="F2" s="407"/>
      <c r="G2" s="407"/>
      <c r="H2" s="407"/>
      <c r="I2" s="407"/>
      <c r="J2" s="407"/>
    </row>
    <row r="3" spans="1:27" ht="6" customHeight="1">
      <c r="A3" s="406"/>
      <c r="B3" s="406"/>
      <c r="C3" s="406"/>
      <c r="D3" s="406"/>
      <c r="E3" s="406"/>
      <c r="F3" s="70"/>
      <c r="G3" s="70"/>
      <c r="H3" s="70"/>
      <c r="I3" s="70"/>
      <c r="J3" s="70"/>
    </row>
    <row r="4" spans="1:27">
      <c r="A4" s="396" t="s">
        <v>330</v>
      </c>
      <c r="B4" s="396"/>
      <c r="C4" s="408" t="s">
        <v>381</v>
      </c>
      <c r="D4" s="408"/>
      <c r="E4" s="409"/>
      <c r="F4" s="71"/>
      <c r="G4" s="72"/>
      <c r="H4" s="73"/>
      <c r="I4" s="74"/>
      <c r="J4" s="148" t="s">
        <v>384</v>
      </c>
    </row>
    <row r="5" spans="1:27">
      <c r="A5" s="396" t="s">
        <v>331</v>
      </c>
      <c r="B5" s="396"/>
      <c r="C5" s="408" t="s">
        <v>382</v>
      </c>
      <c r="D5" s="408"/>
      <c r="E5" s="409"/>
      <c r="F5" s="71"/>
      <c r="G5" s="75"/>
      <c r="H5" s="73"/>
      <c r="I5" s="76"/>
      <c r="J5" s="77"/>
    </row>
    <row r="6" spans="1:27" ht="6" customHeight="1">
      <c r="A6" s="78"/>
      <c r="B6" s="78"/>
      <c r="C6" s="78"/>
      <c r="D6" s="78"/>
      <c r="E6" s="78"/>
      <c r="F6" s="79"/>
      <c r="G6" s="79"/>
      <c r="H6" s="80"/>
      <c r="I6" s="80"/>
      <c r="J6" s="80"/>
    </row>
    <row r="7" spans="1:27">
      <c r="A7" s="396" t="s">
        <v>332</v>
      </c>
      <c r="B7" s="396"/>
      <c r="C7" s="396"/>
      <c r="D7" s="396"/>
      <c r="E7" s="396"/>
      <c r="F7" s="336">
        <v>3220</v>
      </c>
      <c r="G7" s="339" t="s">
        <v>333</v>
      </c>
      <c r="H7" s="80"/>
      <c r="I7" s="80"/>
      <c r="J7" s="80"/>
      <c r="Q7" s="60">
        <v>4.5833333333357587</v>
      </c>
    </row>
    <row r="8" spans="1:27">
      <c r="A8" s="396" t="s">
        <v>334</v>
      </c>
      <c r="B8" s="396"/>
      <c r="C8" s="396"/>
      <c r="D8" s="396"/>
      <c r="E8" s="396"/>
      <c r="F8" s="337">
        <v>-2</v>
      </c>
      <c r="G8" s="340" t="s">
        <v>335</v>
      </c>
      <c r="H8" s="80"/>
      <c r="I8" s="80"/>
      <c r="J8" s="80"/>
    </row>
    <row r="9" spans="1:27">
      <c r="A9" s="396" t="s">
        <v>336</v>
      </c>
      <c r="B9" s="396"/>
      <c r="C9" s="396"/>
      <c r="D9" s="396"/>
      <c r="E9" s="396"/>
      <c r="F9" s="412">
        <v>43399.708333333336</v>
      </c>
      <c r="G9" s="413"/>
      <c r="H9" s="80"/>
      <c r="I9" s="80"/>
      <c r="J9" s="80"/>
    </row>
    <row r="10" spans="1:27">
      <c r="A10" s="414" t="s">
        <v>337</v>
      </c>
      <c r="B10" s="415"/>
      <c r="C10" s="415"/>
      <c r="D10" s="415"/>
      <c r="E10" s="416"/>
      <c r="F10" s="338">
        <v>17.399999999999999</v>
      </c>
      <c r="G10" s="340" t="s">
        <v>338</v>
      </c>
      <c r="H10" s="80"/>
      <c r="I10" s="80"/>
      <c r="J10" s="80"/>
    </row>
    <row r="11" spans="1:27">
      <c r="A11" s="414" t="s">
        <v>339</v>
      </c>
      <c r="B11" s="415"/>
      <c r="C11" s="415"/>
      <c r="D11" s="415"/>
      <c r="E11" s="416"/>
      <c r="F11" s="338">
        <v>0.3</v>
      </c>
      <c r="G11" s="340" t="s">
        <v>338</v>
      </c>
      <c r="H11" s="80"/>
      <c r="I11" s="80"/>
      <c r="J11" s="80"/>
    </row>
    <row r="12" spans="1:27" ht="5.25" customHeight="1">
      <c r="A12" s="410"/>
      <c r="B12" s="410"/>
      <c r="C12" s="410"/>
      <c r="D12" s="410"/>
      <c r="E12" s="410"/>
      <c r="F12" s="410"/>
      <c r="G12" s="410"/>
      <c r="H12" s="79"/>
      <c r="I12" s="79"/>
      <c r="J12" s="79"/>
    </row>
    <row r="13" spans="1:27" s="61" customFormat="1">
      <c r="A13" s="417" t="s">
        <v>340</v>
      </c>
      <c r="B13" s="418"/>
      <c r="C13" s="419"/>
      <c r="D13" s="417" t="s">
        <v>341</v>
      </c>
      <c r="E13" s="418"/>
      <c r="F13" s="419"/>
      <c r="G13" s="411" t="s">
        <v>342</v>
      </c>
      <c r="H13" s="411"/>
      <c r="I13" s="411"/>
      <c r="J13" s="411"/>
      <c r="N13" s="61" t="s">
        <v>343</v>
      </c>
      <c r="Q13" s="61" t="s">
        <v>344</v>
      </c>
      <c r="S13" s="61" t="s">
        <v>345</v>
      </c>
    </row>
    <row r="14" spans="1:27" s="61" customFormat="1">
      <c r="A14" s="420"/>
      <c r="B14" s="421"/>
      <c r="C14" s="422"/>
      <c r="D14" s="420"/>
      <c r="E14" s="421"/>
      <c r="F14" s="421"/>
      <c r="G14" s="423" t="s">
        <v>346</v>
      </c>
      <c r="H14" s="423"/>
      <c r="I14" s="411" t="s">
        <v>347</v>
      </c>
      <c r="J14" s="411"/>
    </row>
    <row r="15" spans="1:27">
      <c r="A15" s="391">
        <f t="shared" ref="A15:A21" si="0">A16-F$11</f>
        <v>15.299999999999994</v>
      </c>
      <c r="B15" s="392"/>
      <c r="C15" s="81" t="s">
        <v>338</v>
      </c>
      <c r="D15" s="393">
        <f t="shared" ref="D15:D30" si="1">(F$7/A15/24)+F$9+(F$8/24)</f>
        <v>43408.394063180829</v>
      </c>
      <c r="E15" s="394"/>
      <c r="F15" s="395"/>
      <c r="G15" s="390">
        <f t="shared" ref="G15:G30" si="2">IF(F$7=0,,AA15)</f>
        <v>210.45999999999998</v>
      </c>
      <c r="H15" s="390"/>
      <c r="I15" s="390" t="str">
        <f t="shared" ref="I15:I30" si="3">IF(F$7=0,,W15)</f>
        <v>8DAY(S) 18HOUR(S) 27MIN(S)</v>
      </c>
      <c r="J15" s="390"/>
      <c r="M15" s="62">
        <f t="shared" ref="M15:M30" si="4">(D15-F$9)-(F$8/24)</f>
        <v>8.7690631808266826</v>
      </c>
      <c r="N15" s="63">
        <f t="shared" ref="N15:N30" si="5">INT(M15)</f>
        <v>8</v>
      </c>
      <c r="O15" s="62">
        <f t="shared" ref="O15:O30" si="6">M15-N15</f>
        <v>0.76906318082668257</v>
      </c>
      <c r="P15" s="62">
        <f t="shared" ref="P15:P30" si="7">O15*24</f>
        <v>18.457516339840382</v>
      </c>
      <c r="Q15" s="63">
        <f t="shared" ref="Q15:Q30" si="8">INT(P15)</f>
        <v>18</v>
      </c>
      <c r="R15" s="62">
        <f t="shared" ref="R15:R30" si="9">P15-Q15</f>
        <v>0.45751633984038165</v>
      </c>
      <c r="S15" s="63">
        <f t="shared" ref="S15:S30" si="10">ROUND(R15*60,0)</f>
        <v>27</v>
      </c>
      <c r="T15" s="424" t="str">
        <f t="shared" ref="T15:T30" si="11">CONCATENATE(N15,N$13," ",Q15,Q$13)</f>
        <v>8DAY(S) 18HOUR(S)</v>
      </c>
      <c r="U15" s="424"/>
      <c r="V15" s="424"/>
      <c r="W15" s="424" t="str">
        <f t="shared" ref="W15:W30" si="12">CONCATENATE(T15," ",S15,S$13)</f>
        <v>8DAY(S) 18HOUR(S) 27MIN(S)</v>
      </c>
      <c r="X15" s="424"/>
      <c r="Y15" s="424"/>
      <c r="Z15" s="424"/>
      <c r="AA15" s="62">
        <f t="shared" ref="AA15:AA30" si="13">IF(F$10=0,,ROUNDUP(M15*24,2))</f>
        <v>210.45999999999998</v>
      </c>
    </row>
    <row r="16" spans="1:27">
      <c r="A16" s="391">
        <f t="shared" si="0"/>
        <v>15.599999999999994</v>
      </c>
      <c r="B16" s="392"/>
      <c r="C16" s="81" t="s">
        <v>338</v>
      </c>
      <c r="D16" s="393">
        <f t="shared" si="1"/>
        <v>43408.22542735043</v>
      </c>
      <c r="E16" s="394"/>
      <c r="F16" s="395"/>
      <c r="G16" s="390">
        <f t="shared" si="2"/>
        <v>206.42</v>
      </c>
      <c r="H16" s="390"/>
      <c r="I16" s="390" t="str">
        <f t="shared" si="3"/>
        <v>8DAY(S) 14HOUR(S) 25MIN(S)</v>
      </c>
      <c r="J16" s="390"/>
      <c r="M16" s="62">
        <f t="shared" si="4"/>
        <v>8.6004273504271023</v>
      </c>
      <c r="N16" s="63">
        <f t="shared" si="5"/>
        <v>8</v>
      </c>
      <c r="O16" s="62">
        <f t="shared" si="6"/>
        <v>0.60042735042710227</v>
      </c>
      <c r="P16" s="62">
        <f t="shared" si="7"/>
        <v>14.410256410250454</v>
      </c>
      <c r="Q16" s="63">
        <f t="shared" si="8"/>
        <v>14</v>
      </c>
      <c r="R16" s="62">
        <f t="shared" si="9"/>
        <v>0.41025641025045445</v>
      </c>
      <c r="S16" s="63">
        <f t="shared" si="10"/>
        <v>25</v>
      </c>
      <c r="T16" s="424" t="str">
        <f t="shared" si="11"/>
        <v>8DAY(S) 14HOUR(S)</v>
      </c>
      <c r="U16" s="424"/>
      <c r="V16" s="424"/>
      <c r="W16" s="424" t="str">
        <f t="shared" si="12"/>
        <v>8DAY(S) 14HOUR(S) 25MIN(S)</v>
      </c>
      <c r="X16" s="424"/>
      <c r="Y16" s="424"/>
      <c r="Z16" s="424"/>
      <c r="AA16" s="62">
        <f t="shared" si="13"/>
        <v>206.42</v>
      </c>
    </row>
    <row r="17" spans="1:31">
      <c r="A17" s="391">
        <f t="shared" si="0"/>
        <v>15.899999999999995</v>
      </c>
      <c r="B17" s="392"/>
      <c r="C17" s="81" t="s">
        <v>338</v>
      </c>
      <c r="D17" s="393">
        <f t="shared" si="1"/>
        <v>43408.063155136268</v>
      </c>
      <c r="E17" s="394"/>
      <c r="F17" s="395"/>
      <c r="G17" s="390">
        <f t="shared" si="2"/>
        <v>202.51999999999998</v>
      </c>
      <c r="H17" s="390"/>
      <c r="I17" s="390" t="str">
        <f t="shared" si="3"/>
        <v>8DAY(S) 10HOUR(S) 31MIN(S)</v>
      </c>
      <c r="J17" s="390"/>
      <c r="M17" s="62">
        <f t="shared" si="4"/>
        <v>8.4381551362651717</v>
      </c>
      <c r="N17" s="63">
        <f t="shared" si="5"/>
        <v>8</v>
      </c>
      <c r="O17" s="62">
        <f t="shared" si="6"/>
        <v>0.43815513626517166</v>
      </c>
      <c r="P17" s="62">
        <f t="shared" si="7"/>
        <v>10.51572327036412</v>
      </c>
      <c r="Q17" s="63">
        <f t="shared" si="8"/>
        <v>10</v>
      </c>
      <c r="R17" s="62">
        <f t="shared" si="9"/>
        <v>0.51572327036411991</v>
      </c>
      <c r="S17" s="63">
        <f t="shared" si="10"/>
        <v>31</v>
      </c>
      <c r="T17" s="424" t="str">
        <f t="shared" si="11"/>
        <v>8DAY(S) 10HOUR(S)</v>
      </c>
      <c r="U17" s="424"/>
      <c r="V17" s="424"/>
      <c r="W17" s="424" t="str">
        <f t="shared" si="12"/>
        <v>8DAY(S) 10HOUR(S) 31MIN(S)</v>
      </c>
      <c r="X17" s="424"/>
      <c r="Y17" s="424"/>
      <c r="Z17" s="424"/>
      <c r="AA17" s="62">
        <f t="shared" si="13"/>
        <v>202.51999999999998</v>
      </c>
    </row>
    <row r="18" spans="1:31">
      <c r="A18" s="391">
        <f t="shared" si="0"/>
        <v>16.199999999999996</v>
      </c>
      <c r="B18" s="392"/>
      <c r="C18" s="81" t="s">
        <v>338</v>
      </c>
      <c r="D18" s="393">
        <f t="shared" si="1"/>
        <v>43407.906893004118</v>
      </c>
      <c r="E18" s="394"/>
      <c r="F18" s="395"/>
      <c r="G18" s="390">
        <f t="shared" si="2"/>
        <v>198.76999999999998</v>
      </c>
      <c r="H18" s="390"/>
      <c r="I18" s="390" t="str">
        <f t="shared" si="3"/>
        <v>8DAY(S) 6HOUR(S) 46MIN(S)</v>
      </c>
      <c r="J18" s="390"/>
      <c r="M18" s="62">
        <f t="shared" si="4"/>
        <v>8.281893004115167</v>
      </c>
      <c r="N18" s="63">
        <f t="shared" si="5"/>
        <v>8</v>
      </c>
      <c r="O18" s="62">
        <f t="shared" si="6"/>
        <v>0.28189300411516705</v>
      </c>
      <c r="P18" s="62">
        <f t="shared" si="7"/>
        <v>6.7654320987640091</v>
      </c>
      <c r="Q18" s="63">
        <f t="shared" si="8"/>
        <v>6</v>
      </c>
      <c r="R18" s="62">
        <f t="shared" si="9"/>
        <v>0.76543209876400908</v>
      </c>
      <c r="S18" s="63">
        <f t="shared" si="10"/>
        <v>46</v>
      </c>
      <c r="T18" s="424" t="str">
        <f t="shared" si="11"/>
        <v>8DAY(S) 6HOUR(S)</v>
      </c>
      <c r="U18" s="424"/>
      <c r="V18" s="424"/>
      <c r="W18" s="424" t="str">
        <f t="shared" si="12"/>
        <v>8DAY(S) 6HOUR(S) 46MIN(S)</v>
      </c>
      <c r="X18" s="424"/>
      <c r="Y18" s="424"/>
      <c r="Z18" s="424"/>
      <c r="AA18" s="62">
        <f t="shared" si="13"/>
        <v>198.76999999999998</v>
      </c>
    </row>
    <row r="19" spans="1:31">
      <c r="A19" s="391">
        <f t="shared" si="0"/>
        <v>16.499999999999996</v>
      </c>
      <c r="B19" s="392"/>
      <c r="C19" s="81" t="s">
        <v>338</v>
      </c>
      <c r="D19" s="393">
        <f t="shared" si="1"/>
        <v>43407.756313131315</v>
      </c>
      <c r="E19" s="394"/>
      <c r="F19" s="395"/>
      <c r="G19" s="390">
        <f t="shared" si="2"/>
        <v>195.16</v>
      </c>
      <c r="H19" s="390"/>
      <c r="I19" s="390" t="str">
        <f t="shared" si="3"/>
        <v>8DAY(S) 3HOUR(S) 9MIN(S)</v>
      </c>
      <c r="J19" s="390"/>
      <c r="M19" s="62">
        <f t="shared" si="4"/>
        <v>8.131313131312103</v>
      </c>
      <c r="N19" s="63">
        <f t="shared" si="5"/>
        <v>8</v>
      </c>
      <c r="O19" s="62">
        <f t="shared" si="6"/>
        <v>0.13131313131210298</v>
      </c>
      <c r="P19" s="62">
        <f t="shared" si="7"/>
        <v>3.1515151514904716</v>
      </c>
      <c r="Q19" s="63">
        <f t="shared" si="8"/>
        <v>3</v>
      </c>
      <c r="R19" s="62">
        <f t="shared" si="9"/>
        <v>0.15151515149047157</v>
      </c>
      <c r="S19" s="63">
        <f t="shared" si="10"/>
        <v>9</v>
      </c>
      <c r="T19" s="424" t="str">
        <f t="shared" si="11"/>
        <v>8DAY(S) 3HOUR(S)</v>
      </c>
      <c r="U19" s="424"/>
      <c r="V19" s="424"/>
      <c r="W19" s="424" t="str">
        <f t="shared" si="12"/>
        <v>8DAY(S) 3HOUR(S) 9MIN(S)</v>
      </c>
      <c r="X19" s="424"/>
      <c r="Y19" s="424"/>
      <c r="Z19" s="424"/>
      <c r="AA19" s="62">
        <f t="shared" si="13"/>
        <v>195.16</v>
      </c>
    </row>
    <row r="20" spans="1:31">
      <c r="A20" s="391">
        <f t="shared" si="0"/>
        <v>16.799999999999997</v>
      </c>
      <c r="B20" s="392"/>
      <c r="C20" s="81" t="s">
        <v>338</v>
      </c>
      <c r="D20" s="393">
        <f t="shared" si="1"/>
        <v>43407.611111111109</v>
      </c>
      <c r="E20" s="394"/>
      <c r="F20" s="395"/>
      <c r="G20" s="390">
        <f t="shared" si="2"/>
        <v>191.67</v>
      </c>
      <c r="H20" s="390"/>
      <c r="I20" s="390" t="str">
        <f t="shared" si="3"/>
        <v>7DAY(S) 23HOUR(S) 40MIN(S)</v>
      </c>
      <c r="J20" s="390"/>
      <c r="M20" s="62">
        <f t="shared" si="4"/>
        <v>7.9861111111070686</v>
      </c>
      <c r="N20" s="63">
        <f t="shared" si="5"/>
        <v>7</v>
      </c>
      <c r="O20" s="62">
        <f t="shared" si="6"/>
        <v>0.98611111110706862</v>
      </c>
      <c r="P20" s="62">
        <f t="shared" si="7"/>
        <v>23.666666666569647</v>
      </c>
      <c r="Q20" s="63">
        <f t="shared" si="8"/>
        <v>23</v>
      </c>
      <c r="R20" s="62">
        <f t="shared" si="9"/>
        <v>0.66666666656964679</v>
      </c>
      <c r="S20" s="63">
        <f t="shared" si="10"/>
        <v>40</v>
      </c>
      <c r="T20" s="424" t="str">
        <f t="shared" si="11"/>
        <v>7DAY(S) 23HOUR(S)</v>
      </c>
      <c r="U20" s="424"/>
      <c r="V20" s="424"/>
      <c r="W20" s="424" t="str">
        <f t="shared" si="12"/>
        <v>7DAY(S) 23HOUR(S) 40MIN(S)</v>
      </c>
      <c r="X20" s="424"/>
      <c r="Y20" s="424"/>
      <c r="Z20" s="424"/>
      <c r="AA20" s="62">
        <f t="shared" si="13"/>
        <v>191.67</v>
      </c>
    </row>
    <row r="21" spans="1:31">
      <c r="A21" s="391">
        <f t="shared" si="0"/>
        <v>17.099999999999998</v>
      </c>
      <c r="B21" s="392"/>
      <c r="C21" s="81" t="s">
        <v>338</v>
      </c>
      <c r="D21" s="393">
        <f t="shared" si="1"/>
        <v>43407.471003898638</v>
      </c>
      <c r="E21" s="394"/>
      <c r="F21" s="395"/>
      <c r="G21" s="390">
        <f t="shared" si="2"/>
        <v>188.31</v>
      </c>
      <c r="H21" s="390"/>
      <c r="I21" s="390" t="str">
        <f t="shared" si="3"/>
        <v>7DAY(S) 20HOUR(S) 18MIN(S)</v>
      </c>
      <c r="J21" s="390"/>
      <c r="M21" s="62">
        <f t="shared" si="4"/>
        <v>7.8460038986352929</v>
      </c>
      <c r="N21" s="63">
        <f t="shared" si="5"/>
        <v>7</v>
      </c>
      <c r="O21" s="62">
        <f t="shared" si="6"/>
        <v>0.84600389863529291</v>
      </c>
      <c r="P21" s="62">
        <f t="shared" si="7"/>
        <v>20.30409356724703</v>
      </c>
      <c r="Q21" s="63">
        <f t="shared" si="8"/>
        <v>20</v>
      </c>
      <c r="R21" s="62">
        <f t="shared" si="9"/>
        <v>0.30409356724702974</v>
      </c>
      <c r="S21" s="63">
        <f t="shared" si="10"/>
        <v>18</v>
      </c>
      <c r="T21" s="424" t="str">
        <f t="shared" si="11"/>
        <v>7DAY(S) 20HOUR(S)</v>
      </c>
      <c r="U21" s="424"/>
      <c r="V21" s="424"/>
      <c r="W21" s="424" t="str">
        <f t="shared" si="12"/>
        <v>7DAY(S) 20HOUR(S) 18MIN(S)</v>
      </c>
      <c r="X21" s="424"/>
      <c r="Y21" s="424"/>
      <c r="Z21" s="424"/>
      <c r="AA21" s="62">
        <f t="shared" si="13"/>
        <v>188.31</v>
      </c>
    </row>
    <row r="22" spans="1:31" s="64" customFormat="1">
      <c r="A22" s="426">
        <f>F10</f>
        <v>17.399999999999999</v>
      </c>
      <c r="B22" s="427"/>
      <c r="C22" s="82" t="s">
        <v>338</v>
      </c>
      <c r="D22" s="402">
        <f t="shared" si="1"/>
        <v>43407.335727969352</v>
      </c>
      <c r="E22" s="403"/>
      <c r="F22" s="404"/>
      <c r="G22" s="428">
        <f t="shared" si="2"/>
        <v>185.06</v>
      </c>
      <c r="H22" s="428"/>
      <c r="I22" s="428" t="str">
        <f t="shared" si="3"/>
        <v>7DAY(S) 17HOUR(S) 3MIN(S)</v>
      </c>
      <c r="J22" s="428"/>
      <c r="M22" s="65">
        <f t="shared" si="4"/>
        <v>7.7107279693494393</v>
      </c>
      <c r="N22" s="66">
        <f t="shared" si="5"/>
        <v>7</v>
      </c>
      <c r="O22" s="65">
        <f t="shared" si="6"/>
        <v>0.71072796934943927</v>
      </c>
      <c r="P22" s="65">
        <f t="shared" si="7"/>
        <v>17.057471264386542</v>
      </c>
      <c r="Q22" s="66">
        <f t="shared" si="8"/>
        <v>17</v>
      </c>
      <c r="R22" s="65">
        <f t="shared" si="9"/>
        <v>5.7471264386542487E-2</v>
      </c>
      <c r="S22" s="66">
        <f t="shared" si="10"/>
        <v>3</v>
      </c>
      <c r="T22" s="425" t="str">
        <f t="shared" si="11"/>
        <v>7DAY(S) 17HOUR(S)</v>
      </c>
      <c r="U22" s="425"/>
      <c r="V22" s="425"/>
      <c r="W22" s="425" t="str">
        <f t="shared" si="12"/>
        <v>7DAY(S) 17HOUR(S) 3MIN(S)</v>
      </c>
      <c r="X22" s="425"/>
      <c r="Y22" s="425"/>
      <c r="Z22" s="425"/>
      <c r="AA22" s="62">
        <f t="shared" si="13"/>
        <v>185.06</v>
      </c>
      <c r="AB22" s="60"/>
      <c r="AE22" s="67"/>
    </row>
    <row r="23" spans="1:31">
      <c r="A23" s="391">
        <f t="shared" ref="A23:A30" si="14">A22+F$11</f>
        <v>17.7</v>
      </c>
      <c r="B23" s="392"/>
      <c r="C23" s="81" t="s">
        <v>338</v>
      </c>
      <c r="D23" s="393">
        <f t="shared" si="1"/>
        <v>43407.205037664782</v>
      </c>
      <c r="E23" s="394"/>
      <c r="F23" s="395"/>
      <c r="G23" s="390">
        <f t="shared" si="2"/>
        <v>181.92999999999998</v>
      </c>
      <c r="H23" s="390"/>
      <c r="I23" s="390" t="str">
        <f t="shared" si="3"/>
        <v>7DAY(S) 13HOUR(S) 55MIN(S)</v>
      </c>
      <c r="J23" s="390"/>
      <c r="M23" s="62">
        <f t="shared" si="4"/>
        <v>7.5800376647797139</v>
      </c>
      <c r="N23" s="63">
        <f t="shared" si="5"/>
        <v>7</v>
      </c>
      <c r="O23" s="62">
        <f t="shared" si="6"/>
        <v>0.58003766477971386</v>
      </c>
      <c r="P23" s="62">
        <f t="shared" si="7"/>
        <v>13.920903954713133</v>
      </c>
      <c r="Q23" s="63">
        <f t="shared" si="8"/>
        <v>13</v>
      </c>
      <c r="R23" s="62">
        <f t="shared" si="9"/>
        <v>0.92090395471313258</v>
      </c>
      <c r="S23" s="63">
        <f t="shared" si="10"/>
        <v>55</v>
      </c>
      <c r="T23" s="424" t="str">
        <f t="shared" si="11"/>
        <v>7DAY(S) 13HOUR(S)</v>
      </c>
      <c r="U23" s="424"/>
      <c r="V23" s="424"/>
      <c r="W23" s="424" t="str">
        <f t="shared" si="12"/>
        <v>7DAY(S) 13HOUR(S) 55MIN(S)</v>
      </c>
      <c r="X23" s="424"/>
      <c r="Y23" s="424"/>
      <c r="Z23" s="424"/>
      <c r="AA23" s="62">
        <f t="shared" si="13"/>
        <v>181.92999999999998</v>
      </c>
    </row>
    <row r="24" spans="1:31">
      <c r="A24" s="391">
        <f t="shared" si="14"/>
        <v>18</v>
      </c>
      <c r="B24" s="392"/>
      <c r="C24" s="81" t="s">
        <v>338</v>
      </c>
      <c r="D24" s="393">
        <f t="shared" si="1"/>
        <v>43407.078703703701</v>
      </c>
      <c r="E24" s="394"/>
      <c r="F24" s="395"/>
      <c r="G24" s="390">
        <f t="shared" si="2"/>
        <v>178.89</v>
      </c>
      <c r="H24" s="390"/>
      <c r="I24" s="390" t="str">
        <f t="shared" si="3"/>
        <v>7DAY(S) 10HOUR(S) 53MIN(S)</v>
      </c>
      <c r="J24" s="390"/>
      <c r="M24" s="62">
        <f t="shared" si="4"/>
        <v>7.4537037036983138</v>
      </c>
      <c r="N24" s="63">
        <f t="shared" si="5"/>
        <v>7</v>
      </c>
      <c r="O24" s="62">
        <f t="shared" si="6"/>
        <v>0.45370370369831381</v>
      </c>
      <c r="P24" s="62">
        <f t="shared" si="7"/>
        <v>10.888888888759531</v>
      </c>
      <c r="Q24" s="63">
        <f t="shared" si="8"/>
        <v>10</v>
      </c>
      <c r="R24" s="62">
        <f t="shared" si="9"/>
        <v>0.88888888875953143</v>
      </c>
      <c r="S24" s="63">
        <f t="shared" si="10"/>
        <v>53</v>
      </c>
      <c r="T24" s="424" t="str">
        <f t="shared" si="11"/>
        <v>7DAY(S) 10HOUR(S)</v>
      </c>
      <c r="U24" s="424"/>
      <c r="V24" s="424"/>
      <c r="W24" s="424" t="str">
        <f t="shared" si="12"/>
        <v>7DAY(S) 10HOUR(S) 53MIN(S)</v>
      </c>
      <c r="X24" s="424"/>
      <c r="Y24" s="424"/>
      <c r="Z24" s="424"/>
      <c r="AA24" s="62">
        <f t="shared" si="13"/>
        <v>178.89</v>
      </c>
    </row>
    <row r="25" spans="1:31">
      <c r="A25" s="391">
        <f t="shared" si="14"/>
        <v>18.3</v>
      </c>
      <c r="B25" s="392"/>
      <c r="C25" s="81" t="s">
        <v>338</v>
      </c>
      <c r="D25" s="393">
        <f t="shared" si="1"/>
        <v>43406.956511839708</v>
      </c>
      <c r="E25" s="394"/>
      <c r="F25" s="395"/>
      <c r="G25" s="390">
        <f t="shared" si="2"/>
        <v>175.95999999999998</v>
      </c>
      <c r="H25" s="390"/>
      <c r="I25" s="390" t="str">
        <f t="shared" si="3"/>
        <v>7DAY(S) 7HOUR(S) 57MIN(S)</v>
      </c>
      <c r="J25" s="390"/>
      <c r="M25" s="62">
        <f t="shared" si="4"/>
        <v>7.3315118397052474</v>
      </c>
      <c r="N25" s="63">
        <f t="shared" si="5"/>
        <v>7</v>
      </c>
      <c r="O25" s="62">
        <f t="shared" si="6"/>
        <v>0.33151183970524745</v>
      </c>
      <c r="P25" s="62">
        <f t="shared" si="7"/>
        <v>7.9562841529259387</v>
      </c>
      <c r="Q25" s="63">
        <f t="shared" si="8"/>
        <v>7</v>
      </c>
      <c r="R25" s="62">
        <f t="shared" si="9"/>
        <v>0.95628415292593871</v>
      </c>
      <c r="S25" s="63">
        <f t="shared" si="10"/>
        <v>57</v>
      </c>
      <c r="T25" s="424" t="str">
        <f t="shared" si="11"/>
        <v>7DAY(S) 7HOUR(S)</v>
      </c>
      <c r="U25" s="424"/>
      <c r="V25" s="424"/>
      <c r="W25" s="424" t="str">
        <f t="shared" si="12"/>
        <v>7DAY(S) 7HOUR(S) 57MIN(S)</v>
      </c>
      <c r="X25" s="424"/>
      <c r="Y25" s="424"/>
      <c r="Z25" s="424"/>
      <c r="AA25" s="62">
        <f t="shared" si="13"/>
        <v>175.95999999999998</v>
      </c>
    </row>
    <row r="26" spans="1:31">
      <c r="A26" s="391">
        <f t="shared" si="14"/>
        <v>18.600000000000001</v>
      </c>
      <c r="B26" s="392"/>
      <c r="C26" s="81" t="s">
        <v>338</v>
      </c>
      <c r="D26" s="393">
        <f t="shared" si="1"/>
        <v>43406.838261648743</v>
      </c>
      <c r="E26" s="394"/>
      <c r="F26" s="395"/>
      <c r="G26" s="390">
        <f t="shared" si="2"/>
        <v>173.12</v>
      </c>
      <c r="H26" s="390"/>
      <c r="I26" s="390" t="str">
        <f t="shared" si="3"/>
        <v>7DAY(S) 5HOUR(S) 7MIN(S)</v>
      </c>
      <c r="J26" s="390"/>
      <c r="M26" s="62">
        <f t="shared" si="4"/>
        <v>7.2132616487409296</v>
      </c>
      <c r="N26" s="63">
        <f t="shared" si="5"/>
        <v>7</v>
      </c>
      <c r="O26" s="62">
        <f t="shared" si="6"/>
        <v>0.21326164874092957</v>
      </c>
      <c r="P26" s="62">
        <f t="shared" si="7"/>
        <v>5.1182795697823096</v>
      </c>
      <c r="Q26" s="63">
        <f t="shared" si="8"/>
        <v>5</v>
      </c>
      <c r="R26" s="62">
        <f t="shared" si="9"/>
        <v>0.11827956978230958</v>
      </c>
      <c r="S26" s="63">
        <f t="shared" si="10"/>
        <v>7</v>
      </c>
      <c r="T26" s="424" t="str">
        <f t="shared" si="11"/>
        <v>7DAY(S) 5HOUR(S)</v>
      </c>
      <c r="U26" s="424"/>
      <c r="V26" s="424"/>
      <c r="W26" s="424" t="str">
        <f t="shared" si="12"/>
        <v>7DAY(S) 5HOUR(S) 7MIN(S)</v>
      </c>
      <c r="X26" s="424"/>
      <c r="Y26" s="424"/>
      <c r="Z26" s="424"/>
      <c r="AA26" s="62">
        <f t="shared" si="13"/>
        <v>173.12</v>
      </c>
    </row>
    <row r="27" spans="1:31">
      <c r="A27" s="391">
        <f t="shared" si="14"/>
        <v>18.900000000000002</v>
      </c>
      <c r="B27" s="392"/>
      <c r="C27" s="81" t="s">
        <v>338</v>
      </c>
      <c r="D27" s="393">
        <f t="shared" si="1"/>
        <v>43406.7237654321</v>
      </c>
      <c r="E27" s="394"/>
      <c r="F27" s="395"/>
      <c r="G27" s="390">
        <f t="shared" si="2"/>
        <v>170.38</v>
      </c>
      <c r="H27" s="390"/>
      <c r="I27" s="390" t="str">
        <f t="shared" si="3"/>
        <v>7DAY(S) 2HOUR(S) 22MIN(S)</v>
      </c>
      <c r="J27" s="390"/>
      <c r="M27" s="62">
        <f t="shared" si="4"/>
        <v>7.0987654320973279</v>
      </c>
      <c r="N27" s="63">
        <f t="shared" si="5"/>
        <v>7</v>
      </c>
      <c r="O27" s="62">
        <f t="shared" si="6"/>
        <v>9.876543209732791E-2</v>
      </c>
      <c r="P27" s="62">
        <f t="shared" si="7"/>
        <v>2.3703703703358698</v>
      </c>
      <c r="Q27" s="63">
        <f t="shared" si="8"/>
        <v>2</v>
      </c>
      <c r="R27" s="62">
        <f t="shared" si="9"/>
        <v>0.37037037033586984</v>
      </c>
      <c r="S27" s="63">
        <f t="shared" si="10"/>
        <v>22</v>
      </c>
      <c r="T27" s="424" t="str">
        <f t="shared" si="11"/>
        <v>7DAY(S) 2HOUR(S)</v>
      </c>
      <c r="U27" s="424"/>
      <c r="V27" s="424"/>
      <c r="W27" s="424" t="str">
        <f t="shared" si="12"/>
        <v>7DAY(S) 2HOUR(S) 22MIN(S)</v>
      </c>
      <c r="X27" s="424"/>
      <c r="Y27" s="424"/>
      <c r="Z27" s="424"/>
      <c r="AA27" s="62">
        <f t="shared" si="13"/>
        <v>170.38</v>
      </c>
    </row>
    <row r="28" spans="1:31">
      <c r="A28" s="391">
        <f t="shared" si="14"/>
        <v>19.200000000000003</v>
      </c>
      <c r="B28" s="392"/>
      <c r="C28" s="81" t="s">
        <v>338</v>
      </c>
      <c r="D28" s="393">
        <f t="shared" si="1"/>
        <v>43406.612847222219</v>
      </c>
      <c r="E28" s="394"/>
      <c r="F28" s="395"/>
      <c r="G28" s="390">
        <f t="shared" si="2"/>
        <v>167.70999999999998</v>
      </c>
      <c r="H28" s="390"/>
      <c r="I28" s="390" t="str">
        <f t="shared" si="3"/>
        <v>6DAY(S) 23HOUR(S) 42MIN(S)</v>
      </c>
      <c r="J28" s="390"/>
      <c r="M28" s="62">
        <f t="shared" si="4"/>
        <v>6.9878472222165628</v>
      </c>
      <c r="N28" s="63">
        <f t="shared" si="5"/>
        <v>6</v>
      </c>
      <c r="O28" s="62">
        <f t="shared" si="6"/>
        <v>0.98784722221656285</v>
      </c>
      <c r="P28" s="62">
        <f t="shared" si="7"/>
        <v>23.708333333197508</v>
      </c>
      <c r="Q28" s="63">
        <f t="shared" si="8"/>
        <v>23</v>
      </c>
      <c r="R28" s="62">
        <f t="shared" si="9"/>
        <v>0.70833333319750835</v>
      </c>
      <c r="S28" s="63">
        <f t="shared" si="10"/>
        <v>42</v>
      </c>
      <c r="T28" s="424" t="str">
        <f t="shared" si="11"/>
        <v>6DAY(S) 23HOUR(S)</v>
      </c>
      <c r="U28" s="424"/>
      <c r="V28" s="424"/>
      <c r="W28" s="424" t="str">
        <f t="shared" si="12"/>
        <v>6DAY(S) 23HOUR(S) 42MIN(S)</v>
      </c>
      <c r="X28" s="424"/>
      <c r="Y28" s="424"/>
      <c r="Z28" s="424"/>
      <c r="AA28" s="62">
        <f t="shared" si="13"/>
        <v>167.70999999999998</v>
      </c>
    </row>
    <row r="29" spans="1:31">
      <c r="A29" s="391">
        <f t="shared" si="14"/>
        <v>19.500000000000004</v>
      </c>
      <c r="B29" s="392"/>
      <c r="C29" s="81" t="s">
        <v>338</v>
      </c>
      <c r="D29" s="393">
        <f t="shared" si="1"/>
        <v>43406.505341880344</v>
      </c>
      <c r="E29" s="394"/>
      <c r="F29" s="395"/>
      <c r="G29" s="390">
        <f t="shared" si="2"/>
        <v>165.13</v>
      </c>
      <c r="H29" s="390"/>
      <c r="I29" s="390" t="str">
        <f t="shared" si="3"/>
        <v>6DAY(S) 21HOUR(S) 8MIN(S)</v>
      </c>
      <c r="J29" s="390"/>
      <c r="M29" s="62">
        <f t="shared" si="4"/>
        <v>6.880341880341196</v>
      </c>
      <c r="N29" s="63">
        <f t="shared" si="5"/>
        <v>6</v>
      </c>
      <c r="O29" s="62">
        <f t="shared" si="6"/>
        <v>0.88034188034119598</v>
      </c>
      <c r="P29" s="62">
        <f t="shared" si="7"/>
        <v>21.128205128188704</v>
      </c>
      <c r="Q29" s="63">
        <f t="shared" si="8"/>
        <v>21</v>
      </c>
      <c r="R29" s="62">
        <f t="shared" si="9"/>
        <v>0.12820512818870355</v>
      </c>
      <c r="S29" s="63">
        <f t="shared" si="10"/>
        <v>8</v>
      </c>
      <c r="T29" s="424" t="str">
        <f t="shared" si="11"/>
        <v>6DAY(S) 21HOUR(S)</v>
      </c>
      <c r="U29" s="424"/>
      <c r="V29" s="424"/>
      <c r="W29" s="424" t="str">
        <f t="shared" si="12"/>
        <v>6DAY(S) 21HOUR(S) 8MIN(S)</v>
      </c>
      <c r="X29" s="424"/>
      <c r="Y29" s="424"/>
      <c r="Z29" s="424"/>
      <c r="AA29" s="62">
        <f t="shared" si="13"/>
        <v>165.13</v>
      </c>
    </row>
    <row r="30" spans="1:31">
      <c r="A30" s="391">
        <f t="shared" si="14"/>
        <v>19.800000000000004</v>
      </c>
      <c r="B30" s="392"/>
      <c r="C30" s="81" t="s">
        <v>338</v>
      </c>
      <c r="D30" s="393">
        <f t="shared" si="1"/>
        <v>43406.401094276094</v>
      </c>
      <c r="E30" s="394"/>
      <c r="F30" s="395"/>
      <c r="G30" s="390">
        <f t="shared" si="2"/>
        <v>162.63</v>
      </c>
      <c r="H30" s="390"/>
      <c r="I30" s="390" t="str">
        <f t="shared" si="3"/>
        <v>6DAY(S) 18HOUR(S) 38MIN(S)</v>
      </c>
      <c r="J30" s="390"/>
      <c r="M30" s="62">
        <f t="shared" si="4"/>
        <v>6.7760942760918015</v>
      </c>
      <c r="N30" s="63">
        <f t="shared" si="5"/>
        <v>6</v>
      </c>
      <c r="O30" s="62">
        <f t="shared" si="6"/>
        <v>0.77609427609180148</v>
      </c>
      <c r="P30" s="62">
        <f t="shared" si="7"/>
        <v>18.626262626203236</v>
      </c>
      <c r="Q30" s="63">
        <f t="shared" si="8"/>
        <v>18</v>
      </c>
      <c r="R30" s="62">
        <f t="shared" si="9"/>
        <v>0.62626262620323558</v>
      </c>
      <c r="S30" s="63">
        <f t="shared" si="10"/>
        <v>38</v>
      </c>
      <c r="T30" s="424" t="str">
        <f t="shared" si="11"/>
        <v>6DAY(S) 18HOUR(S)</v>
      </c>
      <c r="U30" s="424"/>
      <c r="V30" s="424"/>
      <c r="W30" s="424" t="str">
        <f t="shared" si="12"/>
        <v>6DAY(S) 18HOUR(S) 38MIN(S)</v>
      </c>
      <c r="X30" s="424"/>
      <c r="Y30" s="424"/>
      <c r="Z30" s="424"/>
      <c r="AA30" s="62">
        <f t="shared" si="13"/>
        <v>162.63</v>
      </c>
    </row>
    <row r="31" spans="1:31">
      <c r="A31" s="389"/>
      <c r="B31" s="389"/>
      <c r="C31" s="389"/>
      <c r="D31" s="389"/>
      <c r="E31" s="389"/>
      <c r="F31" s="389"/>
      <c r="G31" s="389"/>
      <c r="H31" s="389"/>
      <c r="I31" s="389"/>
      <c r="J31" s="389"/>
    </row>
    <row r="32" spans="1:31">
      <c r="A32" s="405" t="s">
        <v>348</v>
      </c>
      <c r="B32" s="405"/>
      <c r="C32" s="405"/>
      <c r="D32" s="405"/>
      <c r="E32" s="405"/>
      <c r="F32" s="405"/>
      <c r="G32" s="405"/>
      <c r="H32" s="405"/>
      <c r="I32" s="405"/>
      <c r="J32" s="432"/>
    </row>
    <row r="33" spans="1:26" ht="11.45" customHeight="1">
      <c r="A33" s="406"/>
      <c r="B33" s="406"/>
      <c r="C33" s="406"/>
      <c r="D33" s="406"/>
      <c r="E33" s="406"/>
      <c r="F33" s="406"/>
      <c r="G33" s="406"/>
      <c r="H33" s="406"/>
      <c r="I33" s="406"/>
      <c r="J33" s="432"/>
    </row>
    <row r="34" spans="1:26">
      <c r="A34" s="396" t="s">
        <v>349</v>
      </c>
      <c r="B34" s="396"/>
      <c r="C34" s="396"/>
      <c r="D34" s="396"/>
      <c r="E34" s="396"/>
      <c r="F34" s="397">
        <v>43399.729166666664</v>
      </c>
      <c r="G34" s="398"/>
      <c r="H34" s="398"/>
      <c r="I34" s="399"/>
      <c r="J34" s="432"/>
      <c r="M34" s="62">
        <f>(F35-F34)-(F36/24)</f>
        <v>6.6666666666690917</v>
      </c>
      <c r="N34" s="63">
        <f>INT(M34)</f>
        <v>6</v>
      </c>
      <c r="O34" s="62">
        <f>M34-N34</f>
        <v>0.66666666666909169</v>
      </c>
      <c r="P34" s="62">
        <f>O34*24</f>
        <v>16.000000000058201</v>
      </c>
      <c r="Q34" s="63">
        <f>INT(P34)</f>
        <v>16</v>
      </c>
      <c r="R34" s="62">
        <f>P34-Q34</f>
        <v>5.8200555486109806E-11</v>
      </c>
      <c r="S34" s="63">
        <f>ROUND(R34*60,0)</f>
        <v>0</v>
      </c>
      <c r="T34" s="424" t="str">
        <f>CONCATENATE(N34,N$13," ",Q34,Q$13)</f>
        <v>6DAY(S) 16HOUR(S)</v>
      </c>
      <c r="U34" s="424"/>
      <c r="V34" s="424"/>
      <c r="W34" s="424" t="str">
        <f>CONCATENATE(T34," ",S34,S$13)</f>
        <v>6DAY(S) 16HOUR(S) 0MIN(S)</v>
      </c>
      <c r="X34" s="424"/>
      <c r="Y34" s="424"/>
      <c r="Z34" s="424"/>
    </row>
    <row r="35" spans="1:26">
      <c r="A35" s="396" t="s">
        <v>350</v>
      </c>
      <c r="B35" s="396"/>
      <c r="C35" s="396"/>
      <c r="D35" s="396"/>
      <c r="E35" s="396"/>
      <c r="F35" s="429">
        <v>43406.3125</v>
      </c>
      <c r="G35" s="430"/>
      <c r="H35" s="430"/>
      <c r="I35" s="431"/>
      <c r="J35" s="432"/>
    </row>
    <row r="36" spans="1:26">
      <c r="A36" s="396" t="s">
        <v>334</v>
      </c>
      <c r="B36" s="396"/>
      <c r="C36" s="396"/>
      <c r="D36" s="396"/>
      <c r="E36" s="396"/>
      <c r="F36" s="433">
        <v>-2</v>
      </c>
      <c r="G36" s="434"/>
      <c r="H36" s="435" t="s">
        <v>335</v>
      </c>
      <c r="I36" s="436"/>
      <c r="J36" s="432"/>
    </row>
    <row r="37" spans="1:26">
      <c r="A37" s="396" t="s">
        <v>351</v>
      </c>
      <c r="B37" s="396"/>
      <c r="C37" s="396"/>
      <c r="D37" s="396"/>
      <c r="E37" s="396"/>
      <c r="F37" s="437">
        <v>3217.3</v>
      </c>
      <c r="G37" s="438"/>
      <c r="H37" s="400" t="s">
        <v>333</v>
      </c>
      <c r="I37" s="401"/>
      <c r="J37" s="432"/>
    </row>
    <row r="38" spans="1:26">
      <c r="A38" s="396" t="s">
        <v>352</v>
      </c>
      <c r="B38" s="396"/>
      <c r="C38" s="396"/>
      <c r="D38" s="396"/>
      <c r="E38" s="396"/>
      <c r="F38" s="402" t="str">
        <f>IF(F37=0,,W34)</f>
        <v>6DAY(S) 16HOUR(S) 0MIN(S)</v>
      </c>
      <c r="G38" s="403"/>
      <c r="H38" s="403"/>
      <c r="I38" s="404"/>
      <c r="J38" s="432"/>
    </row>
    <row r="39" spans="1:26">
      <c r="A39" s="396" t="s">
        <v>353</v>
      </c>
      <c r="B39" s="396"/>
      <c r="C39" s="396"/>
      <c r="D39" s="396"/>
      <c r="E39" s="396"/>
      <c r="F39" s="439">
        <f>IF(F$10=0,,ROUNDUP(M34*24,2))</f>
        <v>160.01</v>
      </c>
      <c r="G39" s="440"/>
      <c r="H39" s="441" t="s">
        <v>335</v>
      </c>
      <c r="I39" s="442"/>
      <c r="J39" s="432"/>
    </row>
    <row r="40" spans="1:26">
      <c r="A40" s="414" t="s">
        <v>354</v>
      </c>
      <c r="B40" s="415"/>
      <c r="C40" s="415"/>
      <c r="D40" s="415"/>
      <c r="E40" s="416"/>
      <c r="F40" s="443">
        <f>(F37/(((F35-F34)-(F36/24))*24))</f>
        <v>20.108124999992686</v>
      </c>
      <c r="G40" s="444"/>
      <c r="H40" s="445" t="s">
        <v>338</v>
      </c>
      <c r="I40" s="446"/>
      <c r="J40" s="432"/>
    </row>
    <row r="41" spans="1:26">
      <c r="A41" s="389"/>
      <c r="B41" s="389"/>
      <c r="C41" s="389"/>
      <c r="D41" s="389"/>
      <c r="E41" s="389"/>
      <c r="F41" s="389"/>
      <c r="G41" s="389"/>
      <c r="H41" s="389"/>
      <c r="I41" s="389"/>
      <c r="J41" s="432"/>
    </row>
    <row r="42" spans="1:26">
      <c r="A42" s="405" t="s">
        <v>355</v>
      </c>
      <c r="B42" s="405"/>
      <c r="C42" s="405"/>
      <c r="D42" s="405"/>
      <c r="E42" s="405"/>
      <c r="F42" s="405"/>
      <c r="G42" s="405"/>
      <c r="H42" s="405"/>
      <c r="I42" s="405"/>
      <c r="J42" s="432"/>
    </row>
    <row r="43" spans="1:26" ht="11.45" customHeight="1">
      <c r="A43" s="406"/>
      <c r="B43" s="406"/>
      <c r="C43" s="406"/>
      <c r="D43" s="406"/>
      <c r="E43" s="406"/>
      <c r="F43" s="406"/>
      <c r="G43" s="406"/>
      <c r="H43" s="406"/>
      <c r="I43" s="406"/>
      <c r="J43" s="432"/>
    </row>
    <row r="44" spans="1:26">
      <c r="A44" s="396" t="s">
        <v>356</v>
      </c>
      <c r="B44" s="396"/>
      <c r="C44" s="396"/>
      <c r="D44" s="396"/>
      <c r="E44" s="396"/>
      <c r="F44" s="397">
        <v>43406.375</v>
      </c>
      <c r="G44" s="398"/>
      <c r="H44" s="398"/>
      <c r="I44" s="399"/>
      <c r="J44" s="432"/>
    </row>
    <row r="45" spans="1:26">
      <c r="A45" s="396" t="s">
        <v>357</v>
      </c>
      <c r="B45" s="396"/>
      <c r="C45" s="396"/>
      <c r="D45" s="396"/>
      <c r="E45" s="396"/>
      <c r="F45" s="433">
        <v>3217.3</v>
      </c>
      <c r="G45" s="434"/>
      <c r="H45" s="435" t="s">
        <v>333</v>
      </c>
      <c r="I45" s="436"/>
      <c r="J45" s="432"/>
    </row>
    <row r="46" spans="1:26">
      <c r="A46" s="396" t="s">
        <v>334</v>
      </c>
      <c r="B46" s="396"/>
      <c r="C46" s="396"/>
      <c r="D46" s="396"/>
      <c r="E46" s="396"/>
      <c r="F46" s="433">
        <v>-2</v>
      </c>
      <c r="G46" s="434"/>
      <c r="H46" s="435" t="s">
        <v>335</v>
      </c>
      <c r="I46" s="436"/>
      <c r="J46" s="432"/>
    </row>
    <row r="47" spans="1:26">
      <c r="A47" s="414" t="s">
        <v>337</v>
      </c>
      <c r="B47" s="415"/>
      <c r="C47" s="415"/>
      <c r="D47" s="415"/>
      <c r="E47" s="416"/>
      <c r="F47" s="447">
        <v>20</v>
      </c>
      <c r="G47" s="448"/>
      <c r="H47" s="449" t="s">
        <v>338</v>
      </c>
      <c r="I47" s="450"/>
      <c r="J47" s="432"/>
    </row>
    <row r="48" spans="1:26">
      <c r="A48" s="396" t="s">
        <v>352</v>
      </c>
      <c r="B48" s="396"/>
      <c r="C48" s="396"/>
      <c r="D48" s="396"/>
      <c r="E48" s="396"/>
      <c r="F48" s="428" t="str">
        <f>IF(F$45=0,,W48)</f>
        <v>6DAY(S) 16HOUR(S) 52MIN(S)</v>
      </c>
      <c r="G48" s="428"/>
      <c r="H48" s="428"/>
      <c r="I48" s="428"/>
      <c r="J48" s="432"/>
      <c r="M48" s="62">
        <f>(F44-F50)-(F46/24)</f>
        <v>6.7027083333353703</v>
      </c>
      <c r="N48" s="63">
        <f>INT(M48)</f>
        <v>6</v>
      </c>
      <c r="O48" s="62">
        <f>M48-N48</f>
        <v>0.70270833333537031</v>
      </c>
      <c r="P48" s="62">
        <f>O48*24</f>
        <v>16.865000000048887</v>
      </c>
      <c r="Q48" s="63">
        <f>INT(P48)</f>
        <v>16</v>
      </c>
      <c r="R48" s="62">
        <f>P48-Q48</f>
        <v>0.86500000004888733</v>
      </c>
      <c r="S48" s="63">
        <f>ROUND(R48*60,0)</f>
        <v>52</v>
      </c>
      <c r="T48" s="424" t="str">
        <f>CONCATENATE(N48,N$13," ",Q48,Q$13)</f>
        <v>6DAY(S) 16HOUR(S)</v>
      </c>
      <c r="U48" s="424"/>
      <c r="V48" s="424"/>
      <c r="W48" s="424" t="str">
        <f>CONCATENATE(T48," ",S48,S$13)</f>
        <v>6DAY(S) 16HOUR(S) 52MIN(S)</v>
      </c>
      <c r="X48" s="424"/>
      <c r="Y48" s="424"/>
      <c r="Z48" s="424"/>
    </row>
    <row r="49" spans="1:13">
      <c r="A49" s="396" t="s">
        <v>353</v>
      </c>
      <c r="B49" s="396"/>
      <c r="C49" s="396"/>
      <c r="D49" s="396"/>
      <c r="E49" s="396"/>
      <c r="F49" s="439">
        <f>IF(F$10=0,,ROUNDUP(M48*24,2))</f>
        <v>160.87</v>
      </c>
      <c r="G49" s="440"/>
      <c r="H49" s="441" t="s">
        <v>335</v>
      </c>
      <c r="I49" s="442"/>
      <c r="J49" s="432"/>
    </row>
    <row r="50" spans="1:13">
      <c r="A50" s="396" t="s">
        <v>358</v>
      </c>
      <c r="B50" s="396"/>
      <c r="C50" s="396"/>
      <c r="D50" s="396"/>
      <c r="E50" s="396"/>
      <c r="F50" s="402">
        <f>F44-((F45/F47/24)+(F46/24))</f>
        <v>43399.755624999998</v>
      </c>
      <c r="G50" s="403"/>
      <c r="H50" s="403"/>
      <c r="I50" s="404"/>
      <c r="J50" s="432"/>
      <c r="K50" s="68"/>
    </row>
    <row r="51" spans="1:13">
      <c r="A51" s="389"/>
      <c r="B51" s="389"/>
      <c r="C51" s="389"/>
      <c r="D51" s="389"/>
      <c r="E51" s="389"/>
      <c r="F51" s="389"/>
      <c r="G51" s="389"/>
      <c r="H51" s="389"/>
      <c r="I51" s="389"/>
      <c r="J51" s="432"/>
    </row>
    <row r="52" spans="1:13">
      <c r="A52" s="405" t="s">
        <v>359</v>
      </c>
      <c r="B52" s="405"/>
      <c r="C52" s="405"/>
      <c r="D52" s="405"/>
      <c r="E52" s="405"/>
      <c r="F52" s="405"/>
      <c r="G52" s="405"/>
      <c r="H52" s="405"/>
      <c r="I52" s="405"/>
      <c r="J52" s="405"/>
    </row>
    <row r="53" spans="1:13" ht="11.45" customHeight="1">
      <c r="A53" s="406"/>
      <c r="B53" s="406"/>
      <c r="C53" s="406"/>
      <c r="D53" s="406"/>
      <c r="E53" s="406"/>
      <c r="F53" s="406"/>
      <c r="G53" s="406"/>
      <c r="H53" s="406"/>
      <c r="I53" s="406"/>
      <c r="J53" s="452"/>
    </row>
    <row r="54" spans="1:13">
      <c r="A54" s="396" t="s">
        <v>360</v>
      </c>
      <c r="B54" s="396"/>
      <c r="C54" s="396"/>
      <c r="D54" s="396"/>
      <c r="E54" s="396"/>
      <c r="F54" s="451">
        <v>312</v>
      </c>
      <c r="G54" s="433"/>
      <c r="H54" s="340" t="s">
        <v>333</v>
      </c>
      <c r="I54" s="341"/>
      <c r="J54" s="453"/>
    </row>
    <row r="55" spans="1:13">
      <c r="A55" s="396" t="s">
        <v>361</v>
      </c>
      <c r="B55" s="396"/>
      <c r="C55" s="396"/>
      <c r="D55" s="396"/>
      <c r="E55" s="396"/>
      <c r="F55" s="451">
        <v>351</v>
      </c>
      <c r="G55" s="433"/>
      <c r="H55" s="340" t="s">
        <v>333</v>
      </c>
      <c r="I55" s="341"/>
      <c r="J55" s="453"/>
      <c r="L55" s="454">
        <f>ROUNDUP(((F54-F55)/F54)*100,4)</f>
        <v>-12.5</v>
      </c>
      <c r="M55" s="454"/>
    </row>
    <row r="56" spans="1:13">
      <c r="A56" s="396" t="s">
        <v>362</v>
      </c>
      <c r="B56" s="396"/>
      <c r="C56" s="396"/>
      <c r="D56" s="396"/>
      <c r="E56" s="396"/>
      <c r="F56" s="455">
        <f>IF(F55=0,,L55)</f>
        <v>-12.5</v>
      </c>
      <c r="G56" s="456"/>
      <c r="H56" s="457" t="str">
        <f>IF(F56=0,"NIL","%")</f>
        <v>%</v>
      </c>
      <c r="I56" s="458"/>
      <c r="J56" s="453"/>
    </row>
    <row r="57" spans="1:13" ht="7.9" customHeight="1">
      <c r="A57" s="410"/>
      <c r="B57" s="410"/>
      <c r="C57" s="410"/>
      <c r="D57" s="410"/>
      <c r="E57" s="410"/>
      <c r="F57" s="410"/>
      <c r="G57" s="410"/>
      <c r="H57" s="410"/>
      <c r="I57" s="410"/>
      <c r="J57" s="453"/>
    </row>
    <row r="58" spans="1:13">
      <c r="A58" s="396" t="s">
        <v>363</v>
      </c>
      <c r="B58" s="396"/>
      <c r="C58" s="396"/>
      <c r="D58" s="396"/>
      <c r="E58" s="396"/>
      <c r="F58" s="459">
        <v>3.37419E-3</v>
      </c>
      <c r="G58" s="460"/>
      <c r="H58" s="342"/>
      <c r="I58" s="343"/>
      <c r="J58" s="453"/>
    </row>
    <row r="59" spans="1:13">
      <c r="A59" s="396" t="s">
        <v>364</v>
      </c>
      <c r="B59" s="396"/>
      <c r="C59" s="396"/>
      <c r="D59" s="396"/>
      <c r="E59" s="396"/>
      <c r="F59" s="447">
        <v>64.2</v>
      </c>
      <c r="G59" s="448"/>
      <c r="H59" s="449" t="s">
        <v>365</v>
      </c>
      <c r="I59" s="450"/>
      <c r="J59" s="453"/>
      <c r="L59" s="69"/>
      <c r="M59" s="69"/>
    </row>
    <row r="60" spans="1:13">
      <c r="A60" s="396" t="s">
        <v>366</v>
      </c>
      <c r="B60" s="396"/>
      <c r="C60" s="396"/>
      <c r="D60" s="396"/>
      <c r="E60" s="396"/>
      <c r="F60" s="443">
        <f>IF(F58=0,,ROUNDUP(F58*F59,2))</f>
        <v>0.22</v>
      </c>
      <c r="G60" s="444"/>
      <c r="H60" s="445" t="s">
        <v>338</v>
      </c>
      <c r="I60" s="446"/>
      <c r="J60" s="453"/>
    </row>
    <row r="61" spans="1:13">
      <c r="A61" s="389"/>
      <c r="B61" s="389"/>
      <c r="C61" s="389"/>
      <c r="D61" s="389"/>
      <c r="E61" s="389"/>
      <c r="F61" s="389"/>
      <c r="G61" s="389"/>
      <c r="H61" s="389"/>
      <c r="I61" s="389"/>
      <c r="J61" s="453"/>
    </row>
    <row r="62" spans="1:13">
      <c r="A62" s="84"/>
      <c r="B62" s="84"/>
      <c r="C62" s="84"/>
      <c r="D62" s="84"/>
      <c r="E62" s="84"/>
      <c r="F62" s="84"/>
      <c r="G62" s="84"/>
      <c r="H62" s="84"/>
      <c r="I62" s="84"/>
      <c r="J62" s="84"/>
    </row>
    <row r="63" spans="1:13">
      <c r="A63" s="84"/>
      <c r="B63" s="84"/>
      <c r="C63" s="84"/>
      <c r="D63" s="84"/>
      <c r="E63" s="84"/>
      <c r="F63" s="84"/>
      <c r="G63" s="84"/>
      <c r="H63" s="84"/>
      <c r="I63" s="84"/>
      <c r="J63" s="84"/>
    </row>
    <row r="64" spans="1:13">
      <c r="A64" s="84"/>
      <c r="B64" s="84"/>
      <c r="C64" s="84"/>
      <c r="D64" s="84"/>
      <c r="E64" s="84"/>
      <c r="F64" s="84"/>
      <c r="G64" s="84"/>
      <c r="H64" s="84"/>
      <c r="I64" s="84"/>
      <c r="J64" s="84"/>
    </row>
    <row r="65" spans="1:12">
      <c r="A65" s="84"/>
      <c r="B65" s="84"/>
      <c r="C65" s="84"/>
      <c r="D65" s="84"/>
      <c r="E65" s="84"/>
      <c r="F65" s="84"/>
      <c r="G65" s="84"/>
      <c r="H65" s="84"/>
      <c r="I65" s="84"/>
      <c r="J65" s="84"/>
    </row>
    <row r="66" spans="1:12">
      <c r="A66" s="84"/>
      <c r="B66" s="84"/>
      <c r="C66" s="84"/>
      <c r="D66" s="84"/>
      <c r="E66" s="84"/>
      <c r="F66" s="84"/>
      <c r="G66" s="84"/>
      <c r="H66" s="84"/>
      <c r="I66" s="84"/>
      <c r="J66" s="84"/>
    </row>
    <row r="67" spans="1:12">
      <c r="A67" s="84"/>
      <c r="B67" s="84"/>
      <c r="C67" s="84"/>
      <c r="D67" s="84"/>
      <c r="E67" s="84"/>
      <c r="F67" s="84"/>
      <c r="G67" s="84"/>
      <c r="H67" s="84"/>
      <c r="I67" s="84"/>
      <c r="J67" s="84"/>
    </row>
    <row r="68" spans="1:12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2">
      <c r="A69" s="84"/>
      <c r="B69" s="84"/>
      <c r="C69" s="84"/>
      <c r="D69" s="84"/>
      <c r="E69" s="84"/>
      <c r="F69" s="84"/>
      <c r="G69" s="84"/>
      <c r="H69" s="84"/>
      <c r="I69" s="84"/>
      <c r="J69" s="84"/>
    </row>
    <row r="70" spans="1:12">
      <c r="A70" s="84"/>
      <c r="B70" s="84"/>
      <c r="C70" s="84"/>
      <c r="D70" s="84"/>
      <c r="E70" s="84"/>
      <c r="F70" s="84"/>
      <c r="G70" s="84"/>
      <c r="H70" s="84"/>
      <c r="I70" s="84"/>
      <c r="J70" s="84"/>
      <c r="L70" s="61">
        <v>0.01</v>
      </c>
    </row>
    <row r="71" spans="1:12">
      <c r="A71" s="84"/>
      <c r="B71" s="84"/>
      <c r="C71" s="84"/>
      <c r="D71" s="84"/>
      <c r="E71" s="84"/>
      <c r="F71" s="84"/>
      <c r="G71" s="84"/>
      <c r="H71" s="84"/>
      <c r="I71" s="84"/>
      <c r="J71" s="84"/>
      <c r="L71" s="60">
        <v>0.02</v>
      </c>
    </row>
    <row r="72" spans="1:12">
      <c r="A72" s="84"/>
      <c r="B72" s="84"/>
      <c r="C72" s="84"/>
      <c r="D72" s="84"/>
      <c r="E72" s="84"/>
      <c r="F72" s="84"/>
      <c r="G72" s="84"/>
      <c r="H72" s="84"/>
      <c r="I72" s="84"/>
      <c r="J72" s="84"/>
      <c r="L72" s="60">
        <v>0.05</v>
      </c>
    </row>
    <row r="73" spans="1:12">
      <c r="A73" s="84"/>
      <c r="B73" s="84"/>
      <c r="C73" s="84"/>
      <c r="D73" s="84"/>
      <c r="E73" s="84"/>
      <c r="F73" s="84"/>
      <c r="G73" s="84"/>
      <c r="H73" s="84"/>
      <c r="I73" s="84"/>
      <c r="J73" s="84"/>
      <c r="L73" s="60">
        <v>0.1</v>
      </c>
    </row>
    <row r="74" spans="1:12">
      <c r="A74" s="84"/>
      <c r="B74" s="84"/>
      <c r="C74" s="84"/>
      <c r="D74" s="84"/>
      <c r="E74" s="84"/>
      <c r="F74" s="84"/>
      <c r="G74" s="84"/>
      <c r="H74" s="84"/>
      <c r="I74" s="84"/>
      <c r="J74" s="84"/>
      <c r="L74" s="60">
        <f t="shared" ref="L74:L101" si="15">L73+0.05</f>
        <v>0.15000000000000002</v>
      </c>
    </row>
    <row r="75" spans="1:12">
      <c r="A75" s="84"/>
      <c r="B75" s="84"/>
      <c r="C75" s="84"/>
      <c r="D75" s="84"/>
      <c r="E75" s="84"/>
      <c r="F75" s="84"/>
      <c r="G75" s="84"/>
      <c r="H75" s="84"/>
      <c r="I75" s="84"/>
      <c r="J75" s="84"/>
      <c r="L75" s="60">
        <f t="shared" si="15"/>
        <v>0.2</v>
      </c>
    </row>
    <row r="76" spans="1:12">
      <c r="A76" s="84"/>
      <c r="B76" s="84"/>
      <c r="C76" s="84"/>
      <c r="D76" s="84"/>
      <c r="E76" s="84"/>
      <c r="F76" s="84"/>
      <c r="G76" s="84"/>
      <c r="H76" s="84"/>
      <c r="I76" s="84"/>
      <c r="J76" s="84"/>
      <c r="L76" s="60">
        <f t="shared" si="15"/>
        <v>0.25</v>
      </c>
    </row>
    <row r="77" spans="1:12">
      <c r="A77" s="84"/>
      <c r="B77" s="84"/>
      <c r="C77" s="84"/>
      <c r="D77" s="84"/>
      <c r="E77" s="84"/>
      <c r="F77" s="84"/>
      <c r="G77" s="84"/>
      <c r="H77" s="84"/>
      <c r="I77" s="84"/>
      <c r="J77" s="84"/>
      <c r="L77" s="60">
        <f t="shared" si="15"/>
        <v>0.3</v>
      </c>
    </row>
    <row r="78" spans="1:12">
      <c r="A78" s="84"/>
      <c r="B78" s="84"/>
      <c r="C78" s="84"/>
      <c r="D78" s="84"/>
      <c r="E78" s="84"/>
      <c r="F78" s="84"/>
      <c r="G78" s="84"/>
      <c r="H78" s="84"/>
      <c r="I78" s="84"/>
      <c r="J78" s="84"/>
      <c r="L78" s="60">
        <f t="shared" si="15"/>
        <v>0.35</v>
      </c>
    </row>
    <row r="79" spans="1:12">
      <c r="A79" s="84"/>
      <c r="B79" s="84"/>
      <c r="C79" s="84"/>
      <c r="D79" s="84"/>
      <c r="E79" s="84"/>
      <c r="F79" s="84"/>
      <c r="G79" s="84"/>
      <c r="H79" s="84"/>
      <c r="I79" s="84"/>
      <c r="J79" s="84"/>
      <c r="L79" s="60">
        <f t="shared" si="15"/>
        <v>0.39999999999999997</v>
      </c>
    </row>
    <row r="80" spans="1:12">
      <c r="A80" s="84"/>
      <c r="B80" s="84"/>
      <c r="C80" s="84"/>
      <c r="D80" s="84"/>
      <c r="E80" s="84"/>
      <c r="F80" s="84"/>
      <c r="G80" s="84"/>
      <c r="H80" s="84"/>
      <c r="I80" s="84"/>
      <c r="J80" s="84"/>
      <c r="L80" s="60">
        <f t="shared" si="15"/>
        <v>0.44999999999999996</v>
      </c>
    </row>
    <row r="81" spans="1:12">
      <c r="A81" s="84"/>
      <c r="B81" s="84"/>
      <c r="C81" s="84"/>
      <c r="D81" s="84"/>
      <c r="E81" s="84"/>
      <c r="F81" s="84"/>
      <c r="G81" s="84"/>
      <c r="H81" s="84"/>
      <c r="I81" s="84"/>
      <c r="J81" s="84"/>
      <c r="L81" s="60">
        <f t="shared" si="15"/>
        <v>0.49999999999999994</v>
      </c>
    </row>
    <row r="82" spans="1:12">
      <c r="A82" s="84"/>
      <c r="B82" s="84"/>
      <c r="C82" s="84"/>
      <c r="D82" s="84"/>
      <c r="E82" s="84"/>
      <c r="F82" s="84"/>
      <c r="G82" s="84"/>
      <c r="H82" s="84"/>
      <c r="I82" s="84"/>
      <c r="J82" s="84"/>
      <c r="L82" s="60">
        <f t="shared" si="15"/>
        <v>0.54999999999999993</v>
      </c>
    </row>
    <row r="83" spans="1:12">
      <c r="A83" s="84"/>
      <c r="B83" s="84"/>
      <c r="C83" s="84"/>
      <c r="D83" s="84"/>
      <c r="E83" s="84"/>
      <c r="F83" s="84"/>
      <c r="G83" s="84"/>
      <c r="H83" s="84"/>
      <c r="I83" s="84"/>
      <c r="J83" s="84"/>
      <c r="L83" s="60">
        <f t="shared" si="15"/>
        <v>0.6</v>
      </c>
    </row>
    <row r="84" spans="1:12">
      <c r="A84" s="84"/>
      <c r="B84" s="84"/>
      <c r="C84" s="84"/>
      <c r="D84" s="84"/>
      <c r="E84" s="84"/>
      <c r="F84" s="84"/>
      <c r="G84" s="84"/>
      <c r="H84" s="84"/>
      <c r="I84" s="84"/>
      <c r="J84" s="84"/>
      <c r="L84" s="60">
        <f t="shared" si="15"/>
        <v>0.65</v>
      </c>
    </row>
    <row r="85" spans="1:12">
      <c r="A85" s="84"/>
      <c r="B85" s="84"/>
      <c r="C85" s="84"/>
      <c r="D85" s="84"/>
      <c r="E85" s="84"/>
      <c r="F85" s="84"/>
      <c r="G85" s="84"/>
      <c r="H85" s="84"/>
      <c r="I85" s="84"/>
      <c r="J85" s="84"/>
      <c r="L85" s="60">
        <f t="shared" si="15"/>
        <v>0.70000000000000007</v>
      </c>
    </row>
    <row r="86" spans="1:12">
      <c r="A86" s="84"/>
      <c r="B86" s="84"/>
      <c r="C86" s="84"/>
      <c r="D86" s="84"/>
      <c r="E86" s="84"/>
      <c r="F86" s="84"/>
      <c r="G86" s="84"/>
      <c r="H86" s="84"/>
      <c r="I86" s="84"/>
      <c r="J86" s="84"/>
      <c r="L86" s="60">
        <f t="shared" si="15"/>
        <v>0.75000000000000011</v>
      </c>
    </row>
    <row r="87" spans="1:12">
      <c r="A87" s="84"/>
      <c r="B87" s="84"/>
      <c r="C87" s="84"/>
      <c r="D87" s="84"/>
      <c r="E87" s="84"/>
      <c r="F87" s="84"/>
      <c r="G87" s="84"/>
      <c r="H87" s="84"/>
      <c r="I87" s="84"/>
      <c r="J87" s="84"/>
      <c r="L87" s="60">
        <f t="shared" si="15"/>
        <v>0.80000000000000016</v>
      </c>
    </row>
    <row r="88" spans="1:12">
      <c r="A88" s="84"/>
      <c r="B88" s="84"/>
      <c r="C88" s="84"/>
      <c r="D88" s="84"/>
      <c r="E88" s="84"/>
      <c r="F88" s="84"/>
      <c r="G88" s="84"/>
      <c r="H88" s="84"/>
      <c r="I88" s="84"/>
      <c r="J88" s="84"/>
      <c r="L88" s="60">
        <f t="shared" si="15"/>
        <v>0.8500000000000002</v>
      </c>
    </row>
    <row r="89" spans="1:12">
      <c r="A89" s="84"/>
      <c r="B89" s="84"/>
      <c r="C89" s="84"/>
      <c r="D89" s="84"/>
      <c r="E89" s="84"/>
      <c r="F89" s="84"/>
      <c r="G89" s="84"/>
      <c r="H89" s="84"/>
      <c r="I89" s="84"/>
      <c r="J89" s="84"/>
      <c r="L89" s="60">
        <f t="shared" si="15"/>
        <v>0.90000000000000024</v>
      </c>
    </row>
    <row r="90" spans="1:12">
      <c r="A90" s="84"/>
      <c r="B90" s="84"/>
      <c r="C90" s="84"/>
      <c r="D90" s="84"/>
      <c r="E90" s="84"/>
      <c r="F90" s="84"/>
      <c r="G90" s="84"/>
      <c r="H90" s="84"/>
      <c r="I90" s="84"/>
      <c r="J90" s="84"/>
      <c r="L90" s="60">
        <f t="shared" si="15"/>
        <v>0.95000000000000029</v>
      </c>
    </row>
    <row r="91" spans="1:12">
      <c r="A91" s="84"/>
      <c r="B91" s="84"/>
      <c r="C91" s="84"/>
      <c r="D91" s="84"/>
      <c r="E91" s="84"/>
      <c r="F91" s="84"/>
      <c r="G91" s="84"/>
      <c r="H91" s="84"/>
      <c r="I91" s="84"/>
      <c r="J91" s="84"/>
      <c r="L91" s="60">
        <f t="shared" si="15"/>
        <v>1.0000000000000002</v>
      </c>
    </row>
    <row r="92" spans="1:12">
      <c r="A92" s="84"/>
      <c r="B92" s="84"/>
      <c r="C92" s="84"/>
      <c r="D92" s="84"/>
      <c r="E92" s="84"/>
      <c r="F92" s="84"/>
      <c r="G92" s="84"/>
      <c r="H92" s="84"/>
      <c r="I92" s="84"/>
      <c r="J92" s="84"/>
      <c r="L92" s="60">
        <f t="shared" si="15"/>
        <v>1.0500000000000003</v>
      </c>
    </row>
    <row r="93" spans="1:12">
      <c r="A93" s="84"/>
      <c r="B93" s="84"/>
      <c r="C93" s="84"/>
      <c r="D93" s="84"/>
      <c r="E93" s="84"/>
      <c r="F93" s="84"/>
      <c r="G93" s="84"/>
      <c r="H93" s="84"/>
      <c r="I93" s="84"/>
      <c r="J93" s="84"/>
      <c r="L93" s="60">
        <f t="shared" si="15"/>
        <v>1.1000000000000003</v>
      </c>
    </row>
    <row r="94" spans="1:12">
      <c r="A94" s="84"/>
      <c r="B94" s="84"/>
      <c r="C94" s="84"/>
      <c r="D94" s="84"/>
      <c r="E94" s="84"/>
      <c r="F94" s="84"/>
      <c r="G94" s="84"/>
      <c r="H94" s="84"/>
      <c r="I94" s="84"/>
      <c r="J94" s="84"/>
      <c r="L94" s="60">
        <f t="shared" si="15"/>
        <v>1.1500000000000004</v>
      </c>
    </row>
    <row r="95" spans="1:12">
      <c r="A95" s="84"/>
      <c r="B95" s="84"/>
      <c r="C95" s="84"/>
      <c r="D95" s="84"/>
      <c r="E95" s="84"/>
      <c r="F95" s="84"/>
      <c r="G95" s="84"/>
      <c r="H95" s="84"/>
      <c r="I95" s="84"/>
      <c r="J95" s="84"/>
      <c r="L95" s="60">
        <f t="shared" si="15"/>
        <v>1.2000000000000004</v>
      </c>
    </row>
    <row r="96" spans="1:12">
      <c r="A96" s="84"/>
      <c r="B96" s="84"/>
      <c r="C96" s="84"/>
      <c r="D96" s="84"/>
      <c r="E96" s="84"/>
      <c r="F96" s="84"/>
      <c r="G96" s="84"/>
      <c r="H96" s="84"/>
      <c r="I96" s="84"/>
      <c r="J96" s="84"/>
      <c r="L96" s="60">
        <f t="shared" si="15"/>
        <v>1.2500000000000004</v>
      </c>
    </row>
    <row r="97" spans="1:12">
      <c r="A97" s="84"/>
      <c r="B97" s="84"/>
      <c r="C97" s="84"/>
      <c r="D97" s="84"/>
      <c r="E97" s="84"/>
      <c r="F97" s="84"/>
      <c r="G97" s="84"/>
      <c r="H97" s="84"/>
      <c r="I97" s="84"/>
      <c r="J97" s="84"/>
      <c r="L97" s="60">
        <f t="shared" si="15"/>
        <v>1.3000000000000005</v>
      </c>
    </row>
    <row r="98" spans="1:12">
      <c r="A98" s="84"/>
      <c r="B98" s="84"/>
      <c r="C98" s="84"/>
      <c r="D98" s="84"/>
      <c r="E98" s="84"/>
      <c r="F98" s="84"/>
      <c r="G98" s="84"/>
      <c r="H98" s="84"/>
      <c r="I98" s="84"/>
      <c r="J98" s="84"/>
      <c r="L98" s="60">
        <f t="shared" si="15"/>
        <v>1.3500000000000005</v>
      </c>
    </row>
    <row r="99" spans="1:12">
      <c r="A99" s="84"/>
      <c r="B99" s="84"/>
      <c r="C99" s="84"/>
      <c r="D99" s="84"/>
      <c r="E99" s="84"/>
      <c r="F99" s="84"/>
      <c r="G99" s="84"/>
      <c r="H99" s="84"/>
      <c r="I99" s="84"/>
      <c r="J99" s="84"/>
      <c r="L99" s="60">
        <f t="shared" si="15"/>
        <v>1.4000000000000006</v>
      </c>
    </row>
    <row r="100" spans="1:12">
      <c r="A100" s="84"/>
      <c r="B100" s="84"/>
      <c r="C100" s="84"/>
      <c r="D100" s="84"/>
      <c r="E100" s="84"/>
      <c r="F100" s="84"/>
      <c r="G100" s="84"/>
      <c r="H100" s="84"/>
      <c r="I100" s="84"/>
      <c r="J100" s="84"/>
      <c r="L100" s="60">
        <f t="shared" si="15"/>
        <v>1.4500000000000006</v>
      </c>
    </row>
    <row r="101" spans="1:12">
      <c r="L101" s="60">
        <f t="shared" si="15"/>
        <v>1.5000000000000007</v>
      </c>
    </row>
  </sheetData>
  <sheetProtection password="CF7A" sheet="1" selectLockedCells="1"/>
  <mergeCells count="183">
    <mergeCell ref="L55:M55"/>
    <mergeCell ref="A56:E56"/>
    <mergeCell ref="F56:G56"/>
    <mergeCell ref="H56:I56"/>
    <mergeCell ref="A58:E58"/>
    <mergeCell ref="F58:G58"/>
    <mergeCell ref="A59:E59"/>
    <mergeCell ref="F59:G59"/>
    <mergeCell ref="H59:I59"/>
    <mergeCell ref="A49:E49"/>
    <mergeCell ref="F49:G49"/>
    <mergeCell ref="H49:I49"/>
    <mergeCell ref="A50:E50"/>
    <mergeCell ref="F50:I50"/>
    <mergeCell ref="A54:E54"/>
    <mergeCell ref="F54:G54"/>
    <mergeCell ref="A51:I51"/>
    <mergeCell ref="A53:I53"/>
    <mergeCell ref="A52:J52"/>
    <mergeCell ref="J53:J61"/>
    <mergeCell ref="A57:I57"/>
    <mergeCell ref="A61:I61"/>
    <mergeCell ref="A55:E55"/>
    <mergeCell ref="F55:G55"/>
    <mergeCell ref="A60:E60"/>
    <mergeCell ref="F60:G60"/>
    <mergeCell ref="H60:I60"/>
    <mergeCell ref="F46:G46"/>
    <mergeCell ref="H46:I46"/>
    <mergeCell ref="A47:E47"/>
    <mergeCell ref="F47:G47"/>
    <mergeCell ref="H47:I47"/>
    <mergeCell ref="A48:E48"/>
    <mergeCell ref="F48:I48"/>
    <mergeCell ref="T48:V48"/>
    <mergeCell ref="W48:Z48"/>
    <mergeCell ref="T34:V34"/>
    <mergeCell ref="W34:Z34"/>
    <mergeCell ref="A35:E35"/>
    <mergeCell ref="F35:I35"/>
    <mergeCell ref="J31:J51"/>
    <mergeCell ref="A31:I31"/>
    <mergeCell ref="F36:G36"/>
    <mergeCell ref="H36:I36"/>
    <mergeCell ref="A37:E37"/>
    <mergeCell ref="F37:G37"/>
    <mergeCell ref="A39:E39"/>
    <mergeCell ref="F39:G39"/>
    <mergeCell ref="H39:I39"/>
    <mergeCell ref="A40:E40"/>
    <mergeCell ref="F40:G40"/>
    <mergeCell ref="H40:I40"/>
    <mergeCell ref="A44:E44"/>
    <mergeCell ref="F44:I44"/>
    <mergeCell ref="A43:I43"/>
    <mergeCell ref="A42:I42"/>
    <mergeCell ref="A45:E45"/>
    <mergeCell ref="F45:G45"/>
    <mergeCell ref="H45:I45"/>
    <mergeCell ref="A46:E46"/>
    <mergeCell ref="T27:V27"/>
    <mergeCell ref="W27:Z27"/>
    <mergeCell ref="T28:V28"/>
    <mergeCell ref="W28:Z28"/>
    <mergeCell ref="T30:V30"/>
    <mergeCell ref="W30:Z30"/>
    <mergeCell ref="T29:V29"/>
    <mergeCell ref="W29:Z29"/>
    <mergeCell ref="A30:B30"/>
    <mergeCell ref="D30:F30"/>
    <mergeCell ref="G30:H30"/>
    <mergeCell ref="I30:J30"/>
    <mergeCell ref="G29:H29"/>
    <mergeCell ref="I29:J29"/>
    <mergeCell ref="T26:V26"/>
    <mergeCell ref="W26:Z26"/>
    <mergeCell ref="W25:Z25"/>
    <mergeCell ref="A26:B26"/>
    <mergeCell ref="D26:F26"/>
    <mergeCell ref="G26:H26"/>
    <mergeCell ref="I26:J26"/>
    <mergeCell ref="T25:V25"/>
    <mergeCell ref="A25:B25"/>
    <mergeCell ref="D25:F25"/>
    <mergeCell ref="G25:H25"/>
    <mergeCell ref="I25:J25"/>
    <mergeCell ref="A24:B24"/>
    <mergeCell ref="D24:F24"/>
    <mergeCell ref="G24:H24"/>
    <mergeCell ref="I24:J24"/>
    <mergeCell ref="W23:Z23"/>
    <mergeCell ref="T24:V24"/>
    <mergeCell ref="W24:Z24"/>
    <mergeCell ref="A23:B23"/>
    <mergeCell ref="D23:F23"/>
    <mergeCell ref="G23:H23"/>
    <mergeCell ref="T23:V23"/>
    <mergeCell ref="I23:J23"/>
    <mergeCell ref="T22:V22"/>
    <mergeCell ref="W22:Z22"/>
    <mergeCell ref="W21:Z21"/>
    <mergeCell ref="A22:B22"/>
    <mergeCell ref="D22:F22"/>
    <mergeCell ref="G22:H22"/>
    <mergeCell ref="I22:J22"/>
    <mergeCell ref="T21:V21"/>
    <mergeCell ref="A21:B21"/>
    <mergeCell ref="D21:F21"/>
    <mergeCell ref="G21:H21"/>
    <mergeCell ref="I21:J21"/>
    <mergeCell ref="A20:B20"/>
    <mergeCell ref="D20:F20"/>
    <mergeCell ref="G20:H20"/>
    <mergeCell ref="I20:J20"/>
    <mergeCell ref="W19:Z19"/>
    <mergeCell ref="T20:V20"/>
    <mergeCell ref="W20:Z20"/>
    <mergeCell ref="A19:B19"/>
    <mergeCell ref="D19:F19"/>
    <mergeCell ref="G19:H19"/>
    <mergeCell ref="T19:V19"/>
    <mergeCell ref="I19:J19"/>
    <mergeCell ref="T15:V15"/>
    <mergeCell ref="W15:Z15"/>
    <mergeCell ref="T16:V16"/>
    <mergeCell ref="W16:Z16"/>
    <mergeCell ref="T18:V18"/>
    <mergeCell ref="W18:Z18"/>
    <mergeCell ref="T17:V17"/>
    <mergeCell ref="W17:Z17"/>
    <mergeCell ref="A18:B18"/>
    <mergeCell ref="D18:F18"/>
    <mergeCell ref="G18:H18"/>
    <mergeCell ref="I18:J18"/>
    <mergeCell ref="G17:H17"/>
    <mergeCell ref="I17:J17"/>
    <mergeCell ref="A15:B15"/>
    <mergeCell ref="D15:F15"/>
    <mergeCell ref="G15:H15"/>
    <mergeCell ref="I15:J15"/>
    <mergeCell ref="A16:B16"/>
    <mergeCell ref="D16:F16"/>
    <mergeCell ref="G16:H16"/>
    <mergeCell ref="I16:J16"/>
    <mergeCell ref="A17:B17"/>
    <mergeCell ref="D17:F17"/>
    <mergeCell ref="A7:E7"/>
    <mergeCell ref="A1:J2"/>
    <mergeCell ref="A4:B4"/>
    <mergeCell ref="C4:E4"/>
    <mergeCell ref="A5:B5"/>
    <mergeCell ref="C5:E5"/>
    <mergeCell ref="A3:E3"/>
    <mergeCell ref="A12:G12"/>
    <mergeCell ref="G13:J13"/>
    <mergeCell ref="A8:E8"/>
    <mergeCell ref="A9:E9"/>
    <mergeCell ref="F9:G9"/>
    <mergeCell ref="A10:E10"/>
    <mergeCell ref="A11:E11"/>
    <mergeCell ref="A13:C14"/>
    <mergeCell ref="D13:F14"/>
    <mergeCell ref="G14:H14"/>
    <mergeCell ref="I14:J14"/>
    <mergeCell ref="A41:I41"/>
    <mergeCell ref="I27:J27"/>
    <mergeCell ref="A27:B27"/>
    <mergeCell ref="D27:F27"/>
    <mergeCell ref="G27:H27"/>
    <mergeCell ref="A34:E34"/>
    <mergeCell ref="F34:I34"/>
    <mergeCell ref="H37:I37"/>
    <mergeCell ref="A38:E38"/>
    <mergeCell ref="F38:I38"/>
    <mergeCell ref="A28:B28"/>
    <mergeCell ref="D28:F28"/>
    <mergeCell ref="G28:H28"/>
    <mergeCell ref="I28:J28"/>
    <mergeCell ref="A29:B29"/>
    <mergeCell ref="D29:F29"/>
    <mergeCell ref="A36:E36"/>
    <mergeCell ref="A32:I32"/>
    <mergeCell ref="A33:I33"/>
  </mergeCells>
  <phoneticPr fontId="0" type="noConversion"/>
  <dataValidations count="1">
    <dataValidation type="list" allowBlank="1" showInputMessage="1" showErrorMessage="1" sqref="F11" xr:uid="{00000000-0002-0000-0100-000000000000}">
      <formula1>$L$70:$L$101</formula1>
    </dataValidation>
  </dataValidations>
  <pageMargins left="0.5" right="0" top="0.75" bottom="0" header="0" footer="0"/>
  <pageSetup paperSize="9" scale="85" orientation="portrait" r:id="rId1"/>
  <headerFooter alignWithMargins="0"/>
  <rowBreaks count="1" manualBreakCount="1">
    <brk id="61" max="16383" man="1"/>
  </rowBreaks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0070C0"/>
  </sheetPr>
  <dimension ref="A1:AF209"/>
  <sheetViews>
    <sheetView showGridLines="0" showRowColHeaders="0" topLeftCell="F1" zoomScaleNormal="100" workbookViewId="0">
      <selection activeCell="G3" sqref="G3:H3"/>
    </sheetView>
  </sheetViews>
  <sheetFormatPr defaultColWidth="12" defaultRowHeight="12.75"/>
  <cols>
    <col min="1" max="3" width="9.33203125" hidden="1" customWidth="1"/>
    <col min="4" max="4" width="0" hidden="1" customWidth="1"/>
    <col min="5" max="5" width="9.33203125" hidden="1" customWidth="1"/>
    <col min="6" max="6" width="49.1640625" customWidth="1"/>
    <col min="7" max="7" width="9.33203125" customWidth="1"/>
    <col min="8" max="8" width="14.1640625" customWidth="1"/>
    <col min="9" max="15" width="0" hidden="1" customWidth="1"/>
    <col min="16" max="16" width="12.33203125" hidden="1" customWidth="1"/>
    <col min="17" max="27" width="0" hidden="1" customWidth="1"/>
    <col min="28" max="28" width="0.33203125" customWidth="1"/>
    <col min="29" max="29" width="9.33203125" hidden="1" customWidth="1"/>
    <col min="30" max="30" width="8.6640625" hidden="1" customWidth="1"/>
    <col min="31" max="32" width="9.33203125" hidden="1" customWidth="1"/>
    <col min="33" max="256" width="9.33203125" customWidth="1"/>
  </cols>
  <sheetData>
    <row r="1" spans="1:31" ht="22.5">
      <c r="A1" s="2"/>
      <c r="B1" s="2"/>
      <c r="C1" s="2"/>
      <c r="D1" s="12"/>
      <c r="E1" s="12"/>
      <c r="F1" s="463" t="s">
        <v>66</v>
      </c>
      <c r="G1" s="463"/>
      <c r="H1" s="463"/>
      <c r="I1" s="27"/>
      <c r="J1" s="3"/>
      <c r="K1" s="3"/>
      <c r="L1" s="3"/>
      <c r="M1" s="3"/>
      <c r="N1" s="3"/>
      <c r="O1" s="3"/>
      <c r="P1" s="3"/>
      <c r="Q1" s="4"/>
      <c r="R1" s="4"/>
      <c r="S1" s="4"/>
      <c r="T1" s="4"/>
    </row>
    <row r="2" spans="1:31" ht="21" thickBot="1">
      <c r="A2" s="2"/>
      <c r="B2" s="2"/>
      <c r="C2" s="2"/>
      <c r="D2" s="12"/>
      <c r="E2" s="12"/>
      <c r="F2" s="28"/>
      <c r="G2" s="28"/>
      <c r="H2" s="148" t="s">
        <v>384</v>
      </c>
      <c r="I2" s="27"/>
      <c r="J2" s="3"/>
      <c r="K2" s="3"/>
      <c r="L2" s="3"/>
      <c r="M2" s="3"/>
      <c r="N2" s="3"/>
      <c r="O2" s="3"/>
      <c r="P2" s="3"/>
      <c r="Q2" s="4"/>
      <c r="R2" s="4"/>
      <c r="S2" s="4"/>
      <c r="T2" s="4"/>
    </row>
    <row r="3" spans="1:31" ht="21" thickBot="1">
      <c r="A3" s="2">
        <v>0</v>
      </c>
      <c r="B3" s="2">
        <v>0</v>
      </c>
      <c r="C3" s="2"/>
      <c r="D3" s="12"/>
      <c r="E3" s="12"/>
      <c r="F3" s="208" t="s">
        <v>24</v>
      </c>
      <c r="G3" s="466">
        <v>12.5</v>
      </c>
      <c r="H3" s="467"/>
      <c r="I3" s="27"/>
      <c r="J3" s="3"/>
      <c r="K3" s="3"/>
      <c r="L3" s="3"/>
      <c r="M3" s="3"/>
      <c r="N3" s="3"/>
      <c r="O3" s="3"/>
      <c r="P3" s="3"/>
      <c r="Q3" s="4"/>
      <c r="R3" s="4"/>
      <c r="S3" s="4"/>
      <c r="T3" s="4"/>
    </row>
    <row r="4" spans="1:31" ht="21" thickBot="1">
      <c r="A4" s="2">
        <v>1</v>
      </c>
      <c r="B4" s="2">
        <v>1</v>
      </c>
      <c r="C4" s="2"/>
      <c r="D4" s="12"/>
      <c r="E4" s="12"/>
      <c r="F4" s="88"/>
      <c r="G4" s="88"/>
      <c r="H4" s="88"/>
      <c r="I4" s="27"/>
      <c r="J4" s="3"/>
      <c r="K4" s="3"/>
      <c r="L4" s="3"/>
      <c r="M4" s="3"/>
      <c r="N4" s="3"/>
      <c r="O4" s="3"/>
      <c r="P4" s="3"/>
      <c r="Q4" s="4"/>
      <c r="R4" s="4"/>
      <c r="S4" s="4"/>
      <c r="T4" s="4"/>
    </row>
    <row r="5" spans="1:31" ht="21" thickBot="1">
      <c r="A5" s="2">
        <v>4</v>
      </c>
      <c r="B5" s="2">
        <v>2</v>
      </c>
      <c r="C5" s="2"/>
      <c r="D5" s="12"/>
      <c r="E5" s="12"/>
      <c r="F5" s="208" t="s">
        <v>25</v>
      </c>
      <c r="G5" s="466">
        <v>-5</v>
      </c>
      <c r="H5" s="467"/>
      <c r="I5" s="27"/>
      <c r="J5" s="3"/>
      <c r="K5" s="3"/>
      <c r="L5" s="3"/>
      <c r="M5" s="3"/>
      <c r="N5" s="3"/>
      <c r="O5" s="3"/>
      <c r="P5" s="3"/>
      <c r="Q5" s="4"/>
      <c r="R5" s="4"/>
      <c r="S5" s="4"/>
      <c r="T5" s="4"/>
    </row>
    <row r="6" spans="1:31" ht="20.25">
      <c r="A6" s="2">
        <v>7</v>
      </c>
      <c r="B6" s="2">
        <v>3</v>
      </c>
      <c r="C6" s="2"/>
      <c r="D6" s="12"/>
      <c r="E6" s="12"/>
      <c r="F6" s="88" t="s">
        <v>26</v>
      </c>
      <c r="G6" s="88"/>
      <c r="H6" s="88"/>
      <c r="I6" s="27"/>
      <c r="J6" s="3"/>
      <c r="K6" s="3"/>
      <c r="L6" s="3"/>
      <c r="M6" s="3"/>
      <c r="N6" s="3"/>
      <c r="O6" s="3"/>
      <c r="P6" s="3"/>
      <c r="Q6" s="4"/>
      <c r="R6" s="4"/>
      <c r="S6" s="4"/>
      <c r="T6" s="4"/>
    </row>
    <row r="7" spans="1:31" ht="21" thickBot="1">
      <c r="A7" s="2">
        <v>11</v>
      </c>
      <c r="B7" s="2">
        <v>4</v>
      </c>
      <c r="C7" s="2"/>
      <c r="D7" s="12"/>
      <c r="E7" s="12"/>
      <c r="F7" s="88"/>
      <c r="G7" s="88"/>
      <c r="H7" s="88"/>
      <c r="I7" s="27"/>
      <c r="J7" s="3"/>
      <c r="K7" s="3"/>
      <c r="L7" s="3"/>
      <c r="M7" s="3"/>
      <c r="N7" s="3"/>
      <c r="O7" s="3"/>
      <c r="P7" s="3"/>
      <c r="Q7" s="4"/>
      <c r="R7" s="4"/>
      <c r="S7" s="4"/>
      <c r="T7" s="4"/>
    </row>
    <row r="8" spans="1:31" ht="21" thickBot="1">
      <c r="A8" s="2">
        <v>17</v>
      </c>
      <c r="B8" s="2">
        <v>5</v>
      </c>
      <c r="C8" s="2"/>
      <c r="D8" s="12"/>
      <c r="E8" s="12"/>
      <c r="F8" s="208" t="s">
        <v>27</v>
      </c>
      <c r="G8" s="466">
        <v>21.9</v>
      </c>
      <c r="H8" s="467"/>
      <c r="I8" s="27"/>
      <c r="J8" s="3"/>
      <c r="K8" s="3"/>
      <c r="L8" s="3"/>
      <c r="M8" s="3"/>
      <c r="N8" s="3"/>
      <c r="O8" s="3"/>
      <c r="P8" s="3"/>
      <c r="Q8" s="4"/>
      <c r="R8" s="4"/>
      <c r="S8" s="4"/>
      <c r="T8" s="4"/>
    </row>
    <row r="9" spans="1:31" ht="21" thickBot="1">
      <c r="A9" s="2">
        <v>22</v>
      </c>
      <c r="B9" s="2">
        <v>6</v>
      </c>
      <c r="C9" s="2"/>
      <c r="D9" s="12"/>
      <c r="E9" s="12"/>
      <c r="F9" s="88"/>
      <c r="G9" s="88"/>
      <c r="H9" s="88"/>
      <c r="I9" s="27"/>
      <c r="J9" s="3"/>
      <c r="K9" s="3"/>
      <c r="L9" s="3"/>
      <c r="M9" s="3"/>
      <c r="N9" s="3"/>
      <c r="O9" s="3"/>
      <c r="P9" s="3"/>
      <c r="Q9" s="4"/>
      <c r="R9" s="4"/>
      <c r="S9" s="4"/>
      <c r="T9" s="4"/>
    </row>
    <row r="10" spans="1:31" ht="21" thickBot="1">
      <c r="A10" s="2">
        <v>28</v>
      </c>
      <c r="B10" s="2">
        <v>7</v>
      </c>
      <c r="C10" s="2"/>
      <c r="D10" s="12"/>
      <c r="E10" s="12"/>
      <c r="F10" s="208" t="s">
        <v>28</v>
      </c>
      <c r="G10" s="466">
        <v>294</v>
      </c>
      <c r="H10" s="467"/>
      <c r="I10" s="27"/>
      <c r="J10" s="3"/>
      <c r="K10" s="3"/>
      <c r="L10" s="3"/>
      <c r="M10" s="3"/>
      <c r="N10" s="3"/>
      <c r="O10" s="3"/>
      <c r="P10" s="3"/>
      <c r="Q10" s="4"/>
      <c r="R10" s="4"/>
      <c r="S10" s="4"/>
      <c r="T10" s="4"/>
      <c r="AE10" s="2">
        <f>IF(G5&lt;-0.1,G10+DEGREES(ACOS((G8*G8+AE11*AE11-G3*G3)/(2*G8*AE11)))-180,G10-DEGREES(ACOS((G8*G8+AE11*AE11-G3*G3)/(2*G8*AE11)))-180)</f>
        <v>120.57801242878696</v>
      </c>
    </row>
    <row r="11" spans="1:31" ht="20.25">
      <c r="A11" s="2">
        <v>34</v>
      </c>
      <c r="B11" s="2">
        <v>8</v>
      </c>
      <c r="C11" s="2"/>
      <c r="D11" s="12"/>
      <c r="E11" s="12"/>
      <c r="F11" s="88"/>
      <c r="G11" s="88" t="s">
        <v>275</v>
      </c>
      <c r="H11" s="88"/>
      <c r="I11" s="27"/>
      <c r="J11" s="3"/>
      <c r="K11" s="3"/>
      <c r="L11" s="3"/>
      <c r="M11" s="3"/>
      <c r="N11" s="3"/>
      <c r="O11" s="3"/>
      <c r="P11" s="3"/>
      <c r="Q11" s="4"/>
      <c r="R11" s="4"/>
      <c r="S11" s="4"/>
      <c r="T11" s="4"/>
      <c r="AB11">
        <v>20</v>
      </c>
      <c r="AE11" s="2">
        <f>SQRT(G3*G3+G8*G8-2*G3*G8*COS(RADIANS(G5)))</f>
        <v>9.5101736469303866</v>
      </c>
    </row>
    <row r="12" spans="1:31" ht="21" thickBot="1">
      <c r="A12" s="2">
        <v>41</v>
      </c>
      <c r="B12" s="2">
        <v>9</v>
      </c>
      <c r="C12" s="2"/>
      <c r="D12" s="12"/>
      <c r="E12" s="12"/>
      <c r="F12" s="88"/>
      <c r="G12" s="88"/>
      <c r="H12" s="88"/>
      <c r="I12" s="27"/>
      <c r="J12" s="3"/>
      <c r="K12" s="3"/>
      <c r="L12" s="3"/>
      <c r="M12" s="3"/>
      <c r="N12" s="3"/>
      <c r="O12" s="3"/>
      <c r="P12" s="3"/>
      <c r="Q12" s="4"/>
      <c r="R12" s="4"/>
      <c r="S12" s="4"/>
      <c r="T12" s="4"/>
      <c r="AD12">
        <v>10</v>
      </c>
    </row>
    <row r="13" spans="1:31" ht="21.75" thickTop="1" thickBot="1">
      <c r="A13" s="2">
        <v>48</v>
      </c>
      <c r="B13" s="2">
        <v>10</v>
      </c>
      <c r="C13" s="2"/>
      <c r="D13" s="12"/>
      <c r="E13" s="12"/>
      <c r="F13" s="208" t="s">
        <v>29</v>
      </c>
      <c r="G13" s="464">
        <f>ROUND(AE11,0)</f>
        <v>10</v>
      </c>
      <c r="H13" s="465"/>
      <c r="I13" s="27"/>
      <c r="J13" s="3"/>
      <c r="K13" s="3"/>
      <c r="L13" s="3"/>
      <c r="M13" s="3"/>
      <c r="N13" s="3"/>
      <c r="O13" s="3"/>
      <c r="P13" s="3"/>
      <c r="Q13" s="4"/>
      <c r="R13" s="4"/>
      <c r="S13" s="4"/>
      <c r="T13" s="4"/>
    </row>
    <row r="14" spans="1:31" ht="21.75" thickTop="1" thickBot="1">
      <c r="A14" s="2">
        <v>56</v>
      </c>
      <c r="B14" s="2">
        <v>11</v>
      </c>
      <c r="C14" s="2"/>
      <c r="D14" s="12"/>
      <c r="E14" s="12"/>
      <c r="F14" s="88"/>
      <c r="G14" s="88"/>
      <c r="H14" s="88"/>
      <c r="I14" s="27"/>
      <c r="J14" s="3"/>
      <c r="K14" s="3"/>
      <c r="L14" s="3"/>
      <c r="M14" s="3"/>
      <c r="N14" s="3"/>
      <c r="O14" s="3"/>
      <c r="P14" s="3"/>
      <c r="Q14" s="4"/>
      <c r="R14" s="4"/>
      <c r="S14" s="4"/>
      <c r="T14" s="4"/>
    </row>
    <row r="15" spans="1:31" ht="21.75" thickTop="1" thickBot="1">
      <c r="A15" s="2">
        <v>64</v>
      </c>
      <c r="B15" s="2">
        <v>12</v>
      </c>
      <c r="C15" s="2"/>
      <c r="D15" s="12"/>
      <c r="E15" s="12"/>
      <c r="F15" s="208" t="s">
        <v>30</v>
      </c>
      <c r="G15" s="464">
        <f>ROUND(IF(AE10&gt;360,AE10-360,IF(AE10&lt;0,AE10+360,AE10)),0)</f>
        <v>121</v>
      </c>
      <c r="H15" s="465"/>
      <c r="I15" s="27"/>
      <c r="J15" s="3"/>
      <c r="K15" s="3"/>
      <c r="L15" s="3"/>
      <c r="M15" s="3"/>
      <c r="N15" s="3"/>
      <c r="O15" s="3"/>
      <c r="P15" s="3"/>
      <c r="Q15" s="4"/>
      <c r="R15" s="4"/>
      <c r="S15" s="4"/>
      <c r="T15" s="4"/>
    </row>
    <row r="16" spans="1:31" ht="21.75" thickTop="1" thickBot="1">
      <c r="A16" s="2"/>
      <c r="B16" s="2"/>
      <c r="C16" s="2"/>
      <c r="D16" s="12"/>
      <c r="E16" s="12"/>
      <c r="F16" s="88"/>
      <c r="G16" s="88"/>
      <c r="H16" s="88"/>
      <c r="I16" s="27"/>
      <c r="J16" s="3"/>
      <c r="K16" s="3"/>
      <c r="L16" s="3"/>
      <c r="M16" s="3"/>
      <c r="N16" s="3"/>
      <c r="O16" s="3"/>
      <c r="P16" s="3"/>
      <c r="Q16" s="4"/>
      <c r="R16" s="4"/>
      <c r="S16" s="4"/>
      <c r="T16" s="4"/>
    </row>
    <row r="17" spans="1:20" ht="21.75" thickTop="1" thickBot="1">
      <c r="A17" s="2">
        <v>0</v>
      </c>
      <c r="B17" s="2" t="s">
        <v>9</v>
      </c>
      <c r="C17" s="2"/>
      <c r="D17" s="2"/>
      <c r="E17" s="2"/>
      <c r="F17" s="88"/>
      <c r="G17" s="461" t="str">
        <f>VLOOKUP(ROUND(G15/11.25,0)*11.25,A17:B49,2,FALSE) &amp; " / " &amp; VLOOKUP(G13,A3:B15,2) &amp; " Bf."</f>
        <v>SE x E / 3 Bf.</v>
      </c>
      <c r="H17" s="462"/>
      <c r="I17" s="3"/>
      <c r="J17" s="3"/>
      <c r="K17" s="3"/>
      <c r="L17" s="3"/>
      <c r="M17" s="3"/>
      <c r="N17" s="3"/>
      <c r="O17" s="3"/>
      <c r="P17" s="3"/>
      <c r="Q17" s="4"/>
      <c r="R17" s="4"/>
      <c r="S17" s="4"/>
      <c r="T17" s="4"/>
    </row>
    <row r="18" spans="1:20" ht="21" thickTop="1">
      <c r="A18" s="2">
        <f>A17+11.25</f>
        <v>11.25</v>
      </c>
      <c r="B18" s="2" t="s">
        <v>278</v>
      </c>
      <c r="C18" s="26" t="s">
        <v>59</v>
      </c>
      <c r="D18" s="12"/>
      <c r="E18" s="12"/>
      <c r="F18" s="88"/>
      <c r="G18" s="88"/>
      <c r="H18" s="88"/>
      <c r="I18" s="3"/>
      <c r="J18" s="3"/>
      <c r="K18" s="3"/>
      <c r="L18" s="3"/>
      <c r="M18" s="3"/>
      <c r="N18" s="3"/>
      <c r="O18" s="3"/>
      <c r="P18" s="3"/>
      <c r="Q18" s="4"/>
      <c r="R18" s="4"/>
      <c r="S18" s="4"/>
      <c r="T18" s="4"/>
    </row>
    <row r="19" spans="1:20" ht="20.25">
      <c r="A19" s="2">
        <f t="shared" ref="A19:A49" si="0">A18+11.25</f>
        <v>22.5</v>
      </c>
      <c r="B19" s="2" t="s">
        <v>277</v>
      </c>
      <c r="C19" s="2"/>
      <c r="D19" s="2"/>
      <c r="E19" s="2"/>
      <c r="F19" s="88"/>
      <c r="G19" s="88"/>
      <c r="H19" s="88"/>
      <c r="I19" s="3"/>
      <c r="J19" s="3"/>
      <c r="K19" s="3"/>
      <c r="L19" s="3"/>
      <c r="M19" s="3"/>
      <c r="N19" s="3"/>
      <c r="O19" s="3"/>
      <c r="P19" s="3"/>
      <c r="Q19" s="4"/>
      <c r="R19" s="4"/>
      <c r="S19" s="4"/>
      <c r="T19" s="4"/>
    </row>
    <row r="20" spans="1:20" ht="20.25">
      <c r="A20" s="2">
        <f t="shared" si="0"/>
        <v>33.75</v>
      </c>
      <c r="B20" s="2" t="s">
        <v>279</v>
      </c>
      <c r="C20" s="2"/>
      <c r="D20" s="2"/>
      <c r="E20" s="2"/>
      <c r="F20" s="88"/>
      <c r="G20" s="88"/>
      <c r="H20" s="88"/>
      <c r="I20" s="3"/>
      <c r="J20" s="3"/>
      <c r="K20" s="3"/>
      <c r="L20" s="3"/>
      <c r="M20" s="3"/>
      <c r="N20" s="3"/>
      <c r="O20" s="3"/>
      <c r="P20" s="3"/>
      <c r="Q20" s="4"/>
      <c r="R20" s="4"/>
      <c r="S20" s="4"/>
      <c r="T20" s="4"/>
    </row>
    <row r="21" spans="1:20" ht="20.25">
      <c r="A21" s="2">
        <f t="shared" si="0"/>
        <v>45</v>
      </c>
      <c r="B21" s="2" t="s">
        <v>280</v>
      </c>
      <c r="C21" s="2"/>
      <c r="D21" s="2"/>
      <c r="E21" s="2"/>
      <c r="F21" s="88"/>
      <c r="G21" s="88"/>
      <c r="H21" s="88"/>
      <c r="I21" s="3"/>
      <c r="J21" s="3"/>
      <c r="K21" s="3"/>
      <c r="L21" s="3"/>
      <c r="M21" s="3"/>
      <c r="N21" s="3"/>
      <c r="O21" s="3"/>
      <c r="P21" s="3"/>
      <c r="Q21" s="4"/>
      <c r="R21" s="4"/>
      <c r="S21" s="4"/>
      <c r="T21" s="4"/>
    </row>
    <row r="22" spans="1:20" ht="20.25">
      <c r="A22" s="2">
        <f t="shared" si="0"/>
        <v>56.25</v>
      </c>
      <c r="B22" s="2" t="s">
        <v>378</v>
      </c>
      <c r="C22" s="2"/>
      <c r="D22" s="2"/>
      <c r="E22" s="2"/>
      <c r="F22" s="88"/>
      <c r="G22" s="88"/>
      <c r="H22" s="88"/>
      <c r="I22" s="3"/>
      <c r="J22" s="3"/>
      <c r="K22" s="3"/>
      <c r="L22" s="3"/>
      <c r="M22" s="3"/>
      <c r="N22" s="3"/>
      <c r="O22" s="3"/>
      <c r="P22" s="3"/>
      <c r="Q22" s="4"/>
      <c r="R22" s="4"/>
      <c r="S22" s="4"/>
      <c r="T22" s="4"/>
    </row>
    <row r="23" spans="1:20" ht="20.25">
      <c r="A23" s="2">
        <f t="shared" si="0"/>
        <v>67.5</v>
      </c>
      <c r="B23" s="2" t="s">
        <v>281</v>
      </c>
      <c r="C23" s="2"/>
      <c r="D23" s="2"/>
      <c r="E23" s="2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4"/>
      <c r="R23" s="4"/>
      <c r="S23" s="4"/>
      <c r="T23" s="4"/>
    </row>
    <row r="24" spans="1:20" ht="20.25">
      <c r="A24" s="2">
        <f t="shared" si="0"/>
        <v>78.75</v>
      </c>
      <c r="B24" s="2" t="s">
        <v>276</v>
      </c>
      <c r="C24" s="2"/>
      <c r="D24" s="2"/>
      <c r="E24" s="2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4"/>
      <c r="R24" s="4"/>
      <c r="S24" s="4"/>
      <c r="T24" s="4"/>
    </row>
    <row r="25" spans="1:20" ht="20.25">
      <c r="A25" s="2">
        <f t="shared" si="0"/>
        <v>90</v>
      </c>
      <c r="B25" s="2" t="s">
        <v>76</v>
      </c>
      <c r="C25" s="2"/>
      <c r="D25" s="2"/>
      <c r="E25" s="2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4"/>
      <c r="R25" s="4"/>
      <c r="S25" s="4"/>
      <c r="T25" s="4"/>
    </row>
    <row r="26" spans="1:20" ht="20.25">
      <c r="A26" s="2">
        <f t="shared" si="0"/>
        <v>101.25</v>
      </c>
      <c r="B26" s="2" t="s">
        <v>282</v>
      </c>
      <c r="C26" s="2"/>
      <c r="D26" s="2"/>
      <c r="E26" s="2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4"/>
      <c r="R26" s="4"/>
      <c r="S26" s="4"/>
      <c r="T26" s="4"/>
    </row>
    <row r="27" spans="1:20">
      <c r="A27" s="2">
        <f t="shared" si="0"/>
        <v>112.5</v>
      </c>
      <c r="B27" s="2" t="s">
        <v>284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1:20">
      <c r="A28" s="2">
        <f t="shared" si="0"/>
        <v>123.75</v>
      </c>
      <c r="B28" s="2" t="s">
        <v>283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20">
      <c r="A29" s="2">
        <f t="shared" si="0"/>
        <v>135</v>
      </c>
      <c r="B29" s="2" t="s">
        <v>285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20">
      <c r="A30" s="2">
        <f t="shared" si="0"/>
        <v>146.25</v>
      </c>
      <c r="B30" s="2" t="s">
        <v>293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20">
      <c r="A31" s="2">
        <f t="shared" si="0"/>
        <v>157.5</v>
      </c>
      <c r="B31" s="2" t="s">
        <v>286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20">
      <c r="A32" s="2">
        <f t="shared" si="0"/>
        <v>168.75</v>
      </c>
      <c r="B32" s="2" t="s">
        <v>294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>
      <c r="A33" s="2">
        <f t="shared" si="0"/>
        <v>180</v>
      </c>
      <c r="B33" s="2" t="s">
        <v>10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>
      <c r="A34" s="2">
        <f t="shared" si="0"/>
        <v>191.25</v>
      </c>
      <c r="B34" s="2" t="s">
        <v>295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>
      <c r="A35" s="2">
        <f t="shared" si="0"/>
        <v>202.5</v>
      </c>
      <c r="B35" s="2" t="s">
        <v>287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>
      <c r="A36" s="2">
        <f t="shared" si="0"/>
        <v>213.75</v>
      </c>
      <c r="B36" s="2" t="s">
        <v>296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>
      <c r="A37" s="2">
        <f t="shared" si="0"/>
        <v>225</v>
      </c>
      <c r="B37" s="2" t="s">
        <v>288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>
      <c r="A38" s="2">
        <f t="shared" si="0"/>
        <v>236.25</v>
      </c>
      <c r="B38" s="2" t="s">
        <v>297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>
      <c r="A39" s="2">
        <f t="shared" si="0"/>
        <v>247.5</v>
      </c>
      <c r="B39" s="2" t="s">
        <v>289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>
      <c r="A40" s="2">
        <f t="shared" si="0"/>
        <v>258.75</v>
      </c>
      <c r="B40" s="2" t="s">
        <v>298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>
      <c r="A41" s="2">
        <f t="shared" si="0"/>
        <v>270</v>
      </c>
      <c r="B41" s="2" t="s">
        <v>11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>
      <c r="A42" s="2">
        <f t="shared" si="0"/>
        <v>281.25</v>
      </c>
      <c r="B42" s="2" t="s">
        <v>299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>
      <c r="A43" s="2">
        <f t="shared" si="0"/>
        <v>292.5</v>
      </c>
      <c r="B43" s="2" t="s">
        <v>290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16">
      <c r="A44" s="2">
        <f t="shared" si="0"/>
        <v>303.75</v>
      </c>
      <c r="B44" s="2" t="s">
        <v>300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16">
      <c r="A45" s="2">
        <f t="shared" si="0"/>
        <v>315</v>
      </c>
      <c r="B45" s="2" t="s">
        <v>291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1:16">
      <c r="A46" s="2">
        <f t="shared" si="0"/>
        <v>326.25</v>
      </c>
      <c r="B46" s="2" t="s">
        <v>301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1:16">
      <c r="A47" s="2">
        <f t="shared" si="0"/>
        <v>337.5</v>
      </c>
      <c r="B47" s="2" t="s">
        <v>292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1:16">
      <c r="A48" s="2">
        <f t="shared" si="0"/>
        <v>348.75</v>
      </c>
      <c r="B48" s="2" t="s">
        <v>302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1:16">
      <c r="A49" s="2">
        <f t="shared" si="0"/>
        <v>360</v>
      </c>
      <c r="B49" s="2" t="s">
        <v>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1:16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</row>
    <row r="51" spans="1:16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</row>
    <row r="52" spans="1:16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</row>
    <row r="53" spans="1:1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  <row r="54" spans="1:1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pans="1:1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</sheetData>
  <sheetProtection password="CF7A" sheet="1" selectLockedCells="1"/>
  <mergeCells count="8">
    <mergeCell ref="G17:H17"/>
    <mergeCell ref="F1:H1"/>
    <mergeCell ref="G13:H13"/>
    <mergeCell ref="G15:H15"/>
    <mergeCell ref="G3:H3"/>
    <mergeCell ref="G5:H5"/>
    <mergeCell ref="G8:H8"/>
    <mergeCell ref="G10:H10"/>
  </mergeCells>
  <phoneticPr fontId="0" type="noConversion"/>
  <pageMargins left="0.75" right="0.75" top="1" bottom="1" header="0.5" footer="0.5"/>
  <pageSetup paperSize="9" scale="51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3">
    <tabColor theme="1"/>
    <pageSetUpPr fitToPage="1"/>
  </sheetPr>
  <dimension ref="A1:IK5923"/>
  <sheetViews>
    <sheetView showGridLines="0" showRowColHeaders="0" tabSelected="1" zoomScaleNormal="75" workbookViewId="0">
      <selection activeCell="Q7" sqref="Q7"/>
    </sheetView>
  </sheetViews>
  <sheetFormatPr defaultColWidth="12" defaultRowHeight="12.75"/>
  <cols>
    <col min="1" max="1" width="7.5" customWidth="1"/>
    <col min="2" max="2" width="15.33203125" customWidth="1"/>
    <col min="3" max="3" width="6.33203125" customWidth="1"/>
    <col min="4" max="5" width="7.33203125" customWidth="1"/>
    <col min="6" max="15" width="6.33203125" customWidth="1"/>
    <col min="16" max="16" width="13.1640625" customWidth="1"/>
    <col min="17" max="19" width="6.33203125" customWidth="1"/>
    <col min="20" max="20" width="9.33203125" customWidth="1"/>
    <col min="21" max="21" width="9.33203125" hidden="1" customWidth="1"/>
    <col min="22" max="22" width="8.33203125" customWidth="1"/>
    <col min="23" max="25" width="9.33203125" customWidth="1"/>
    <col min="26" max="26" width="12.1640625" bestFit="1" customWidth="1"/>
    <col min="27" max="30" width="9.33203125" customWidth="1"/>
    <col min="31" max="31" width="9" customWidth="1"/>
    <col min="32" max="54" width="9.33203125" customWidth="1"/>
    <col min="55" max="55" width="8.83203125" customWidth="1"/>
    <col min="56" max="56" width="9.33203125" customWidth="1"/>
    <col min="57" max="57" width="8.6640625" customWidth="1"/>
    <col min="58" max="61" width="9.33203125" customWidth="1"/>
    <col min="62" max="62" width="8.1640625" customWidth="1"/>
    <col min="63" max="66" width="9.33203125" customWidth="1"/>
    <col min="67" max="67" width="8.5" customWidth="1"/>
    <col min="68" max="68" width="8.83203125" customWidth="1"/>
    <col min="69" max="69" width="9.1640625" customWidth="1"/>
    <col min="70" max="70" width="9.33203125" customWidth="1"/>
    <col min="71" max="71" width="8.33203125" customWidth="1"/>
    <col min="72" max="72" width="10" customWidth="1"/>
    <col min="73" max="75" width="10.33203125" customWidth="1"/>
    <col min="76" max="80" width="9.33203125" customWidth="1"/>
    <col min="81" max="81" width="9.83203125" bestFit="1" customWidth="1"/>
    <col min="82" max="113" width="9.33203125" customWidth="1"/>
    <col min="114" max="114" width="9.83203125" bestFit="1" customWidth="1"/>
    <col min="115" max="130" width="9.33203125" customWidth="1"/>
    <col min="131" max="131" width="11.6640625" customWidth="1"/>
    <col min="132" max="132" width="9.83203125" customWidth="1"/>
    <col min="133" max="133" width="9.83203125" bestFit="1" customWidth="1"/>
    <col min="134" max="256" width="9.33203125" customWidth="1"/>
  </cols>
  <sheetData>
    <row r="1" spans="1:138" ht="25.5" customHeight="1">
      <c r="B1" s="468" t="s">
        <v>391</v>
      </c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  <c r="O1" s="468"/>
      <c r="P1" s="468"/>
      <c r="Q1" s="468"/>
      <c r="R1" s="468"/>
      <c r="S1" s="468"/>
      <c r="T1" s="468"/>
      <c r="U1" s="468"/>
      <c r="V1" s="468"/>
    </row>
    <row r="2" spans="1:138" ht="23.25" customHeight="1">
      <c r="V2" s="148" t="s">
        <v>384</v>
      </c>
    </row>
    <row r="3" spans="1:138" s="2" customFormat="1" ht="9" hidden="1" customHeight="1">
      <c r="A3" s="36">
        <v>0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</row>
    <row r="4" spans="1:138" s="2" customFormat="1">
      <c r="A4" s="36"/>
      <c r="B4" s="37"/>
      <c r="C4" s="36"/>
      <c r="D4" s="36"/>
      <c r="E4" s="36"/>
      <c r="F4" s="36"/>
      <c r="G4" s="36"/>
      <c r="H4" s="36"/>
      <c r="I4" s="86"/>
      <c r="J4" s="86"/>
      <c r="K4" s="147" t="s">
        <v>32</v>
      </c>
      <c r="L4" s="503">
        <v>45910</v>
      </c>
      <c r="M4" s="503"/>
      <c r="N4" s="504"/>
      <c r="O4" s="94"/>
      <c r="P4" s="147" t="s">
        <v>48</v>
      </c>
      <c r="Q4" s="344">
        <v>37</v>
      </c>
      <c r="R4" s="345">
        <v>12</v>
      </c>
      <c r="S4" s="93" t="s">
        <v>9</v>
      </c>
      <c r="T4" s="86"/>
      <c r="U4" s="86">
        <f>IF(S4="S",-Q4-R4/60,Q4+R4/60)</f>
        <v>37.200000000000003</v>
      </c>
      <c r="V4" s="8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</row>
    <row r="5" spans="1:138" s="2" customFormat="1">
      <c r="A5" s="36"/>
      <c r="B5" s="89"/>
      <c r="C5" s="86"/>
      <c r="D5" s="86"/>
      <c r="E5" s="86"/>
      <c r="F5" s="36"/>
      <c r="G5" s="36"/>
      <c r="H5" s="36"/>
      <c r="I5" s="86"/>
      <c r="J5" s="86"/>
      <c r="K5" s="92"/>
      <c r="L5" s="86"/>
      <c r="M5" s="86"/>
      <c r="N5" s="86"/>
      <c r="O5" s="86"/>
      <c r="P5" s="147" t="s">
        <v>49</v>
      </c>
      <c r="Q5" s="95">
        <v>53</v>
      </c>
      <c r="R5" s="96">
        <v>30</v>
      </c>
      <c r="S5" s="97" t="s">
        <v>76</v>
      </c>
      <c r="T5" s="86"/>
      <c r="U5" s="86">
        <f>IF(S5="W",-Q5-R5/60,Q5+R5/60)</f>
        <v>53.5</v>
      </c>
      <c r="V5" s="8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</row>
    <row r="6" spans="1:138" s="2" customFormat="1">
      <c r="A6" s="36"/>
      <c r="B6" s="103"/>
      <c r="C6" s="90"/>
      <c r="D6" s="90"/>
      <c r="E6" s="91"/>
      <c r="F6" s="39"/>
      <c r="G6" s="36"/>
      <c r="H6" s="36"/>
      <c r="I6" s="86"/>
      <c r="J6" s="86"/>
      <c r="K6" s="147" t="s">
        <v>41</v>
      </c>
      <c r="L6" s="98">
        <v>14</v>
      </c>
      <c r="M6" s="98">
        <v>50</v>
      </c>
      <c r="N6" s="99">
        <v>0</v>
      </c>
      <c r="O6" s="86"/>
      <c r="P6" s="86"/>
      <c r="Q6" s="86"/>
      <c r="R6" s="86"/>
      <c r="S6" s="86"/>
      <c r="T6" s="86"/>
      <c r="U6" s="86"/>
      <c r="V6" s="8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4"/>
      <c r="DW6" s="13"/>
      <c r="DX6" s="13"/>
      <c r="DY6" s="13"/>
      <c r="DZ6" s="13"/>
      <c r="EA6" s="13"/>
      <c r="EB6" s="13"/>
      <c r="EC6" s="13"/>
    </row>
    <row r="7" spans="1:138" s="2" customFormat="1">
      <c r="A7" s="36"/>
      <c r="B7" s="86" t="s">
        <v>303</v>
      </c>
      <c r="C7" s="92"/>
      <c r="D7" s="92"/>
      <c r="E7" s="86"/>
      <c r="F7" s="36"/>
      <c r="G7" s="36"/>
      <c r="H7" s="36"/>
      <c r="I7" s="86"/>
      <c r="J7" s="86"/>
      <c r="K7" s="92"/>
      <c r="L7" s="86"/>
      <c r="M7" s="86"/>
      <c r="N7" s="86"/>
      <c r="O7" s="86"/>
      <c r="P7" s="377" t="s">
        <v>422</v>
      </c>
      <c r="Q7" s="378">
        <v>302</v>
      </c>
      <c r="R7" s="86"/>
      <c r="S7" s="508" t="s">
        <v>369</v>
      </c>
      <c r="T7" s="508"/>
      <c r="U7" s="86"/>
      <c r="V7" s="378">
        <v>291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4"/>
      <c r="DW7" s="13"/>
      <c r="DX7" s="13"/>
      <c r="DY7" s="13"/>
      <c r="DZ7" s="13"/>
      <c r="EA7" s="13"/>
      <c r="EB7" s="13"/>
      <c r="EC7" s="13"/>
    </row>
    <row r="8" spans="1:138" s="2" customFormat="1">
      <c r="A8" s="36"/>
      <c r="B8" s="104"/>
      <c r="C8" s="92"/>
      <c r="D8" s="92"/>
      <c r="E8" s="86"/>
      <c r="F8" s="36"/>
      <c r="G8" s="36"/>
      <c r="H8" s="36"/>
      <c r="I8" s="86"/>
      <c r="J8" s="86"/>
      <c r="K8" s="147" t="s">
        <v>47</v>
      </c>
      <c r="L8" s="505" t="s">
        <v>58</v>
      </c>
      <c r="M8" s="506"/>
      <c r="N8" s="507"/>
      <c r="O8" s="86"/>
      <c r="P8" s="377" t="s">
        <v>423</v>
      </c>
      <c r="Q8" s="378">
        <v>325</v>
      </c>
      <c r="R8" s="86"/>
      <c r="S8" s="508" t="s">
        <v>421</v>
      </c>
      <c r="T8" s="508"/>
      <c r="U8" s="86"/>
      <c r="V8" s="378">
        <v>-18.5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4"/>
      <c r="DW8" s="13"/>
      <c r="DX8" s="13"/>
      <c r="DY8" s="13"/>
      <c r="DZ8" s="13"/>
      <c r="EA8" s="13"/>
      <c r="EB8" s="13"/>
      <c r="EC8" s="13"/>
    </row>
    <row r="9" spans="1:138" s="2" customFormat="1" ht="13.5" thickBot="1">
      <c r="A9" s="36"/>
      <c r="B9" s="86"/>
      <c r="C9" s="92"/>
      <c r="D9" s="92"/>
      <c r="E9" s="86"/>
      <c r="F9" s="36"/>
      <c r="G9" s="36"/>
      <c r="H9" s="3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4"/>
      <c r="DW9" s="13"/>
      <c r="DX9" s="13"/>
      <c r="DY9" s="13"/>
      <c r="DZ9" s="13"/>
      <c r="EA9" s="13"/>
      <c r="EB9" s="13"/>
      <c r="EC9" s="13"/>
    </row>
    <row r="10" spans="1:138" s="2" customFormat="1" ht="13.5" thickBot="1">
      <c r="A10" s="36"/>
      <c r="B10" s="137" t="s">
        <v>250</v>
      </c>
      <c r="C10" s="138"/>
      <c r="D10" s="146" t="str">
        <f>L8</f>
        <v>Sun</v>
      </c>
      <c r="E10" s="139"/>
      <c r="F10" s="36"/>
      <c r="G10" s="36"/>
      <c r="H10" s="36"/>
      <c r="I10" s="36">
        <f>DEGREES(ASIN(SIN(RADIANS(U4))*SIN(RADIANS(G24))+COS(RADIANS(U4))*COS(RADIANS(G24))*COS(RADIANS(H21))))</f>
        <v>-2.5399315991965579</v>
      </c>
      <c r="J10" s="40"/>
      <c r="K10" s="40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4"/>
      <c r="DW10" s="13"/>
      <c r="DX10" s="13"/>
      <c r="DY10" s="13"/>
      <c r="DZ10" s="13"/>
      <c r="EA10" s="13"/>
      <c r="EB10" s="13"/>
      <c r="EC10" s="13"/>
    </row>
    <row r="11" spans="1:138" s="2" customFormat="1">
      <c r="A11" s="36"/>
      <c r="B11" s="140" t="s">
        <v>262</v>
      </c>
      <c r="C11" s="141">
        <f>IF(G11&lt;0,-INT(ABS(G11)),INT(ABS(G11)))</f>
        <v>-2</v>
      </c>
      <c r="D11" s="142">
        <f>(ABS(G11)-ABS(C11))*60</f>
        <v>32.879015347462257</v>
      </c>
      <c r="E11" s="143" t="s">
        <v>263</v>
      </c>
      <c r="F11" s="41"/>
      <c r="G11" s="36">
        <f>VLOOKUP(L8,AL184:AN246,3,FALSE)</f>
        <v>-2.547983589124371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4"/>
      <c r="DW11" s="13"/>
      <c r="DX11" s="13"/>
      <c r="DY11" s="13"/>
      <c r="DZ11" s="13"/>
      <c r="EA11" s="13"/>
      <c r="EB11" s="13"/>
      <c r="EC11" s="13"/>
    </row>
    <row r="12" spans="1:138" s="2" customFormat="1">
      <c r="A12" s="36"/>
      <c r="B12" s="144" t="s">
        <v>249</v>
      </c>
      <c r="C12" s="512">
        <f>V7</f>
        <v>291</v>
      </c>
      <c r="D12" s="513"/>
      <c r="E12" s="514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4"/>
      <c r="DW12" s="13"/>
      <c r="DX12" s="13"/>
      <c r="DY12" s="13"/>
      <c r="DZ12" s="13"/>
      <c r="EA12" s="13"/>
      <c r="EB12" s="13"/>
      <c r="EC12" s="13"/>
    </row>
    <row r="13" spans="1:138" s="2" customFormat="1">
      <c r="A13" s="36"/>
      <c r="B13" s="117"/>
      <c r="C13" s="118"/>
      <c r="D13" s="118"/>
      <c r="E13" s="119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4"/>
      <c r="DW13" s="13"/>
      <c r="DX13" s="13"/>
      <c r="DY13" s="13"/>
      <c r="DZ13" s="13"/>
      <c r="EA13" s="13"/>
      <c r="EB13" s="13"/>
      <c r="EC13" s="13"/>
    </row>
    <row r="14" spans="1:138" s="2" customFormat="1">
      <c r="A14" s="36"/>
      <c r="B14" s="120" t="str">
        <f>IF(K184=1,"GHA","GHA Aries")</f>
        <v>GHA</v>
      </c>
      <c r="C14" s="121">
        <f>INT(G16)</f>
        <v>30</v>
      </c>
      <c r="D14" s="122">
        <f>(G16-C14)*60</f>
        <v>47.09661266320154</v>
      </c>
      <c r="E14" s="123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4"/>
      <c r="DW14" s="13"/>
      <c r="DX14" s="13"/>
      <c r="DY14" s="13"/>
      <c r="DZ14" s="13"/>
      <c r="EA14" s="13"/>
      <c r="EB14" s="13"/>
      <c r="EC14" s="13"/>
    </row>
    <row r="15" spans="1:138" s="2" customFormat="1">
      <c r="A15" s="36"/>
      <c r="B15" s="120" t="s">
        <v>251</v>
      </c>
      <c r="C15" s="121">
        <f>INT(G17)</f>
        <v>12</v>
      </c>
      <c r="D15" s="122">
        <f>(G17-C15)*60</f>
        <v>30.182891576975521</v>
      </c>
      <c r="E15" s="123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4"/>
      <c r="DW15" s="13"/>
      <c r="DX15" s="13"/>
      <c r="DY15" s="13"/>
      <c r="DZ15" s="13"/>
      <c r="EA15" s="13"/>
      <c r="EB15" s="13"/>
      <c r="EC15" s="13"/>
    </row>
    <row r="16" spans="1:138" s="2" customFormat="1">
      <c r="A16" s="36"/>
      <c r="B16" s="120" t="str">
        <f>IF(K184=1,"GHA","GHA Aries")</f>
        <v>GHA</v>
      </c>
      <c r="C16" s="121">
        <f>INT(G18)</f>
        <v>43</v>
      </c>
      <c r="D16" s="122">
        <f>(G18-C16)*60</f>
        <v>17.279504240177062</v>
      </c>
      <c r="E16" s="123"/>
      <c r="F16" s="36"/>
      <c r="G16" s="36">
        <f>IF(K184=1,VLOOKUP(L8,O184:S246,4,FALSE),R247)</f>
        <v>30.784943544386692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4"/>
      <c r="DX16" s="13"/>
      <c r="DY16" s="13"/>
      <c r="DZ16" s="13"/>
      <c r="EA16" s="13"/>
      <c r="EB16" s="13"/>
      <c r="EC16" s="13"/>
      <c r="ED16" s="13"/>
    </row>
    <row r="17" spans="1:134" s="2" customFormat="1">
      <c r="A17" s="36"/>
      <c r="B17" s="120" t="s">
        <v>16</v>
      </c>
      <c r="C17" s="121">
        <f>Q5</f>
        <v>53</v>
      </c>
      <c r="D17" s="122">
        <f>R5</f>
        <v>30</v>
      </c>
      <c r="E17" s="123" t="str">
        <f>S5</f>
        <v>E</v>
      </c>
      <c r="F17" s="36"/>
      <c r="G17" s="36">
        <f>G18-G16</f>
        <v>12.503048192949592</v>
      </c>
      <c r="H17" s="36"/>
      <c r="I17" s="36"/>
      <c r="J17" s="36"/>
      <c r="K17" s="36"/>
      <c r="L17" s="59">
        <f>(L6+M6/60+N6/3600)/24+L4</f>
        <v>45910.618055555555</v>
      </c>
      <c r="M17" s="59">
        <f>L17+5/24/60</f>
        <v>45910.621527777774</v>
      </c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4"/>
      <c r="DW17" s="13"/>
      <c r="DX17" s="13"/>
      <c r="DY17" s="13"/>
      <c r="DZ17" s="13"/>
      <c r="EA17" s="13"/>
      <c r="EB17" s="13"/>
      <c r="EC17" s="13"/>
    </row>
    <row r="18" spans="1:134" s="2" customFormat="1">
      <c r="A18" s="36"/>
      <c r="B18" s="120" t="str">
        <f>IF(K184=1,"LHA","LHA Aries")</f>
        <v>LHA</v>
      </c>
      <c r="C18" s="121">
        <f>INT(G20)</f>
        <v>96</v>
      </c>
      <c r="D18" s="122">
        <f>(G20-C18)*60</f>
        <v>47.279504240177062</v>
      </c>
      <c r="E18" s="123"/>
      <c r="F18" s="36"/>
      <c r="G18" s="36">
        <f>IF(K184=1,VLOOKUP(L8,O184:S246,3,FALSE),Q247)</f>
        <v>43.287991737336284</v>
      </c>
      <c r="H18" s="36"/>
      <c r="I18" s="36"/>
      <c r="J18" s="36"/>
      <c r="K18" s="36"/>
      <c r="L18" s="59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4"/>
      <c r="DX18" s="13"/>
      <c r="DY18" s="13"/>
      <c r="DZ18" s="13"/>
      <c r="EA18" s="13"/>
      <c r="EB18" s="13"/>
      <c r="EC18" s="13"/>
      <c r="ED18" s="13"/>
    </row>
    <row r="19" spans="1:134" s="2" customFormat="1">
      <c r="A19" s="36"/>
      <c r="B19" s="120" t="str">
        <f>IF(K184=1,"","SHA")</f>
        <v/>
      </c>
      <c r="C19" s="121" t="str">
        <f>IF(K184=1,"",INT(G21))</f>
        <v/>
      </c>
      <c r="D19" s="122" t="str">
        <f>IF(K184=1,"",(G21-C19)*60)</f>
        <v/>
      </c>
      <c r="E19" s="123"/>
      <c r="F19" s="36"/>
      <c r="G19" s="36">
        <f>U5</f>
        <v>53.5</v>
      </c>
      <c r="H19" s="36"/>
      <c r="I19" s="36"/>
      <c r="J19" s="36"/>
      <c r="K19" s="36"/>
      <c r="L19" s="36">
        <f>HOUR(M17)</f>
        <v>14</v>
      </c>
      <c r="M19" s="59">
        <f>MINUTE(M17)</f>
        <v>55</v>
      </c>
      <c r="N19" s="36">
        <f>SECOND(M17)</f>
        <v>0</v>
      </c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4"/>
      <c r="DW19" s="13"/>
      <c r="DX19" s="13"/>
      <c r="DY19" s="13"/>
      <c r="DZ19" s="13"/>
      <c r="EA19" s="13"/>
      <c r="EB19" s="13"/>
      <c r="EC19" s="13"/>
    </row>
    <row r="20" spans="1:134" s="2" customFormat="1">
      <c r="A20" s="36"/>
      <c r="B20" s="124" t="s">
        <v>18</v>
      </c>
      <c r="C20" s="125">
        <f>INT(G22)</f>
        <v>96</v>
      </c>
      <c r="D20" s="126">
        <f>(G22-C20)*60</f>
        <v>47.279504240177062</v>
      </c>
      <c r="E20" s="119" t="str">
        <f>IF(MOD(G20+G21,360)&gt;180,"E","W")</f>
        <v>W</v>
      </c>
      <c r="F20" s="36"/>
      <c r="G20" s="36">
        <f>MOD(G18+G19,360)</f>
        <v>96.787991737336284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4"/>
      <c r="DW20" s="13"/>
      <c r="DX20" s="13"/>
      <c r="DY20" s="13"/>
      <c r="DZ20" s="13"/>
      <c r="EA20" s="13"/>
      <c r="EB20" s="13"/>
      <c r="EC20" s="13"/>
    </row>
    <row r="21" spans="1:134" s="2" customFormat="1">
      <c r="A21" s="36"/>
      <c r="B21" s="127"/>
      <c r="C21" s="128"/>
      <c r="D21" s="128"/>
      <c r="E21" s="123"/>
      <c r="F21" s="36"/>
      <c r="G21" s="36">
        <f>IF(K184=1,0,VLOOKUP(L8,B181:I237,8,FALSE))</f>
        <v>0</v>
      </c>
      <c r="H21" s="36">
        <f>MOD(G20+G21,360)</f>
        <v>96.787991737336284</v>
      </c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4"/>
      <c r="DW21" s="13"/>
      <c r="DX21" s="13"/>
      <c r="DY21" s="13"/>
      <c r="DZ21" s="13"/>
      <c r="EA21" s="13"/>
      <c r="EB21" s="13"/>
      <c r="EC21" s="13"/>
    </row>
    <row r="22" spans="1:134" s="2" customFormat="1">
      <c r="A22" s="36"/>
      <c r="B22" s="129" t="s">
        <v>19</v>
      </c>
      <c r="C22" s="130">
        <f>INT(ABS(G24))</f>
        <v>4</v>
      </c>
      <c r="D22" s="131">
        <f>(ABS(G24)-C22)*60</f>
        <v>41.855547179632367</v>
      </c>
      <c r="E22" s="132" t="str">
        <f>IF(G24&lt;0,"S","N")</f>
        <v>N</v>
      </c>
      <c r="F22" s="36"/>
      <c r="G22" s="36">
        <f>IF(H21&gt;180,360-H21,H21)</f>
        <v>96.787991737336284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4"/>
      <c r="DW22" s="13"/>
      <c r="DX22" s="13"/>
      <c r="DY22" s="13"/>
      <c r="DZ22" s="13"/>
      <c r="EA22" s="13"/>
      <c r="EB22" s="13"/>
      <c r="EC22" s="13"/>
    </row>
    <row r="23" spans="1:134" s="2" customFormat="1">
      <c r="A23" s="36"/>
      <c r="B23" s="120" t="s">
        <v>44</v>
      </c>
      <c r="C23" s="121">
        <f>INT(ABS(G25))</f>
        <v>0</v>
      </c>
      <c r="D23" s="122">
        <f>(ABS(G25)-C23)*60</f>
        <v>0.79086407363659461</v>
      </c>
      <c r="E23" s="123" t="str">
        <f>IF(G25&lt;0,"S","N")</f>
        <v>S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4"/>
      <c r="DW23" s="13"/>
      <c r="DX23" s="13"/>
      <c r="DY23" s="13"/>
      <c r="DZ23" s="13"/>
      <c r="EA23" s="13"/>
      <c r="EB23" s="13"/>
      <c r="EC23" s="13"/>
    </row>
    <row r="24" spans="1:134" s="2" customFormat="1">
      <c r="A24" s="36"/>
      <c r="B24" s="124" t="s">
        <v>19</v>
      </c>
      <c r="C24" s="125">
        <f>INT(ABS(G26))</f>
        <v>4</v>
      </c>
      <c r="D24" s="126">
        <f>(ABS(G26)-C24)*60</f>
        <v>41.064683105995776</v>
      </c>
      <c r="E24" s="119" t="str">
        <f>IF(G26&lt;0,"S","N")</f>
        <v>N</v>
      </c>
      <c r="F24" s="36"/>
      <c r="G24" s="36">
        <f>IF(K184=1,VLOOKUP(L8,O184:V246,7,FALSE),VLOOKUP(L8,B181:J237,9,FALSE))</f>
        <v>4.6975924529938728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4"/>
      <c r="DW24" s="13"/>
      <c r="DX24" s="13"/>
      <c r="DY24" s="13"/>
      <c r="DZ24" s="13"/>
      <c r="EA24" s="13"/>
      <c r="EB24" s="13"/>
      <c r="EC24" s="13"/>
    </row>
    <row r="25" spans="1:134" s="2" customFormat="1">
      <c r="A25" s="36"/>
      <c r="B25" s="127"/>
      <c r="C25" s="133"/>
      <c r="D25" s="128"/>
      <c r="E25" s="123"/>
      <c r="F25" s="36"/>
      <c r="G25" s="36">
        <f>G26-G24</f>
        <v>-1.3181067893943244E-2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4"/>
      <c r="DW25" s="13"/>
      <c r="DX25" s="13"/>
      <c r="DY25" s="13"/>
      <c r="DZ25" s="13"/>
      <c r="EA25" s="13"/>
      <c r="EB25" s="13"/>
      <c r="EC25" s="13"/>
    </row>
    <row r="26" spans="1:134" s="2" customFormat="1">
      <c r="A26" s="36"/>
      <c r="B26" s="129" t="s">
        <v>20</v>
      </c>
      <c r="C26" s="134">
        <f>ABS(G29)</f>
        <v>9.0348856175167275E-2</v>
      </c>
      <c r="D26" s="135" t="str">
        <f>IF(G29&lt;0,"S","N")</f>
        <v>N</v>
      </c>
      <c r="E26" s="132"/>
      <c r="F26" s="36"/>
      <c r="G26" s="36">
        <f>IF(K184=1,VLOOKUP(L8,O184:V246,6,FALSE),VLOOKUP(L8,B181:J237,9,FALSE))</f>
        <v>4.6844113850999296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4"/>
      <c r="DW26" s="13"/>
      <c r="DX26" s="13"/>
      <c r="DY26" s="13"/>
      <c r="DZ26" s="13"/>
      <c r="EA26" s="13"/>
      <c r="EB26" s="13"/>
      <c r="EC26" s="13"/>
    </row>
    <row r="27" spans="1:134" s="2" customFormat="1">
      <c r="A27" s="36"/>
      <c r="B27" s="120" t="s">
        <v>21</v>
      </c>
      <c r="C27" s="136">
        <f>ABS(G30)</f>
        <v>8.2519496966891037E-2</v>
      </c>
      <c r="D27" s="128" t="str">
        <f>IF(G30&lt;0,"S","N")</f>
        <v>N</v>
      </c>
      <c r="E27" s="123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4"/>
      <c r="DW27" s="13"/>
      <c r="DX27" s="13"/>
      <c r="DY27" s="13"/>
      <c r="DZ27" s="13"/>
      <c r="EA27" s="13"/>
      <c r="EB27" s="13"/>
      <c r="EC27" s="13"/>
    </row>
    <row r="28" spans="1:134" s="2" customFormat="1">
      <c r="A28" s="36"/>
      <c r="B28" s="120" t="s">
        <v>22</v>
      </c>
      <c r="C28" s="136">
        <f>ABS(G31)</f>
        <v>0.17286835314205831</v>
      </c>
      <c r="D28" s="128" t="str">
        <f>IF(G31&lt;0,"S","N")</f>
        <v>N</v>
      </c>
      <c r="E28" s="123"/>
      <c r="F28" s="36"/>
      <c r="G28" s="36">
        <f>IF(H21&gt;90,IF(H21&lt;270,1,0),0)</f>
        <v>1</v>
      </c>
      <c r="H28" s="36">
        <f>ABS(TAN(RADIANS(ABS(U4)))/TAN(RADIANS(ABS(G22))))</f>
        <v>9.0348856175167275E-2</v>
      </c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4"/>
      <c r="DW28" s="13"/>
      <c r="DX28" s="13"/>
      <c r="DY28" s="13"/>
      <c r="DZ28" s="13"/>
      <c r="EA28" s="13"/>
      <c r="EB28" s="13"/>
      <c r="EC28" s="13"/>
    </row>
    <row r="29" spans="1:134" s="2" customFormat="1">
      <c r="A29" s="36"/>
      <c r="B29" s="124" t="s">
        <v>252</v>
      </c>
      <c r="C29" s="118" t="str">
        <f>D28</f>
        <v>N</v>
      </c>
      <c r="D29" s="118">
        <f>G32</f>
        <v>82.159968809159892</v>
      </c>
      <c r="E29" s="119" t="str">
        <f>E20</f>
        <v>W</v>
      </c>
      <c r="F29" s="36"/>
      <c r="G29" s="36">
        <f>IF(G28=0,IF(S4="N",-H28,H28),IF(S4="N",H28,-H28))</f>
        <v>9.0348856175167275E-2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4"/>
      <c r="DW29" s="13"/>
      <c r="DX29" s="13"/>
      <c r="DY29" s="13"/>
      <c r="DZ29" s="13"/>
      <c r="EA29" s="13"/>
      <c r="EB29" s="13"/>
      <c r="EC29" s="13"/>
    </row>
    <row r="30" spans="1:134" s="2" customFormat="1">
      <c r="A30" s="36"/>
      <c r="B30" s="127"/>
      <c r="C30" s="133"/>
      <c r="D30" s="128"/>
      <c r="E30" s="123"/>
      <c r="F30" s="36"/>
      <c r="G30" s="36">
        <f>IF(E24="N",ABS(TAN(RADIANS(G26))/SIN(RADIANS(H21))),-ABS(TAN(RADIANS(G26))/SIN(RADIANS(H21))))</f>
        <v>8.2519496966891037E-2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4"/>
      <c r="DW30" s="13"/>
      <c r="DX30" s="13"/>
      <c r="DY30" s="13"/>
      <c r="DZ30" s="13"/>
      <c r="EA30" s="13"/>
      <c r="EB30" s="13"/>
      <c r="EC30" s="13"/>
    </row>
    <row r="31" spans="1:134" s="2" customFormat="1">
      <c r="A31" s="36"/>
      <c r="B31" s="129" t="s">
        <v>23</v>
      </c>
      <c r="C31" s="515">
        <f>G33</f>
        <v>277.84003119084014</v>
      </c>
      <c r="D31" s="516"/>
      <c r="E31" s="517"/>
      <c r="F31" s="36"/>
      <c r="G31" s="36">
        <f>G29+G30</f>
        <v>0.17286835314205831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4"/>
      <c r="DW31" s="13"/>
      <c r="DX31" s="13"/>
      <c r="DY31" s="13"/>
      <c r="DZ31" s="13"/>
      <c r="EA31" s="13"/>
      <c r="EB31" s="13"/>
      <c r="EC31" s="13"/>
    </row>
    <row r="32" spans="1:134" s="2" customFormat="1">
      <c r="A32" s="36"/>
      <c r="B32" s="120" t="s">
        <v>14</v>
      </c>
      <c r="C32" s="518">
        <f>C12</f>
        <v>291</v>
      </c>
      <c r="D32" s="519"/>
      <c r="E32" s="520"/>
      <c r="F32" s="36"/>
      <c r="G32" s="36">
        <f>ABS(DEGREES(ATAN(1/(COS(RADIANS(ABS(U4)))*G31))))</f>
        <v>82.159968809159892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4"/>
      <c r="DW32" s="13"/>
      <c r="DX32" s="13"/>
      <c r="DY32" s="13"/>
      <c r="DZ32" s="13"/>
      <c r="EA32" s="13"/>
      <c r="EB32" s="13"/>
      <c r="EC32" s="13"/>
    </row>
    <row r="33" spans="1:133" s="2" customFormat="1" ht="13.5" thickBot="1">
      <c r="A33" s="36"/>
      <c r="B33" s="145" t="s">
        <v>8</v>
      </c>
      <c r="C33" s="521">
        <f>C31-C32</f>
        <v>-13.159968809159864</v>
      </c>
      <c r="D33" s="522"/>
      <c r="E33" s="523"/>
      <c r="F33" s="36"/>
      <c r="G33" s="36">
        <f>IF(D28="S",IF(E20="W",180+G32,180-G32),IF(E20="W",360-G32,G32))</f>
        <v>277.84003119084014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4"/>
      <c r="DW33" s="13"/>
      <c r="DX33" s="13"/>
      <c r="DY33" s="13"/>
      <c r="DZ33" s="13"/>
      <c r="EA33" s="13"/>
      <c r="EB33" s="13"/>
      <c r="EC33" s="13"/>
    </row>
    <row r="34" spans="1:133" s="2" customFormat="1" ht="8.25" customHeight="1">
      <c r="A34" s="36"/>
      <c r="B34" s="38"/>
      <c r="C34" s="42"/>
      <c r="D34" s="43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4"/>
      <c r="DW34" s="13"/>
      <c r="DX34" s="13"/>
      <c r="DY34" s="13"/>
      <c r="DZ34" s="13"/>
      <c r="EA34" s="13"/>
      <c r="EB34" s="13"/>
      <c r="EC34" s="13"/>
    </row>
    <row r="35" spans="1:133" s="2" customFormat="1" hidden="1">
      <c r="A35" s="36"/>
      <c r="B35" s="524" t="s">
        <v>367</v>
      </c>
      <c r="C35" s="525"/>
      <c r="D35" s="525"/>
      <c r="E35" s="525"/>
      <c r="F35" s="525"/>
      <c r="G35" s="525"/>
      <c r="H35" s="525"/>
      <c r="I35" s="115" t="s">
        <v>376</v>
      </c>
      <c r="J35" s="116" t="s">
        <v>377</v>
      </c>
      <c r="K35" s="86"/>
      <c r="L35" s="86"/>
      <c r="M35" s="86"/>
      <c r="N35" s="86"/>
      <c r="O35" s="86"/>
      <c r="P35" s="86"/>
      <c r="Q35" s="86"/>
      <c r="R35" s="8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4"/>
      <c r="DW35" s="13"/>
      <c r="DX35" s="13"/>
      <c r="DY35" s="13"/>
      <c r="DZ35" s="13"/>
      <c r="EA35" s="13"/>
      <c r="EB35" s="13"/>
      <c r="EC35" s="13"/>
    </row>
    <row r="36" spans="1:133" s="2" customFormat="1" ht="13.5" hidden="1" thickBot="1">
      <c r="A36" s="36"/>
      <c r="B36" s="112" t="s">
        <v>368</v>
      </c>
      <c r="C36" s="473">
        <f>C31</f>
        <v>277.84003119084014</v>
      </c>
      <c r="D36" s="526"/>
      <c r="E36" s="475" t="s">
        <v>374</v>
      </c>
      <c r="F36" s="476"/>
      <c r="G36" s="473">
        <f>C36</f>
        <v>277.84003119084014</v>
      </c>
      <c r="H36" s="527"/>
      <c r="I36" s="379">
        <f>Q7</f>
        <v>302</v>
      </c>
      <c r="J36" s="380">
        <f>Q8</f>
        <v>325</v>
      </c>
      <c r="K36" s="100">
        <f>I36-J36</f>
        <v>-23</v>
      </c>
      <c r="L36" s="86"/>
      <c r="M36" s="86"/>
      <c r="N36" s="86"/>
      <c r="O36" s="86"/>
      <c r="P36" s="86"/>
      <c r="Q36" s="86"/>
      <c r="R36" s="8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4"/>
      <c r="DW36" s="13"/>
      <c r="DX36" s="13"/>
      <c r="DY36" s="13"/>
      <c r="DZ36" s="13"/>
      <c r="EA36" s="13"/>
      <c r="EB36" s="13"/>
      <c r="EC36" s="13"/>
    </row>
    <row r="37" spans="1:133" s="2" customFormat="1" hidden="1">
      <c r="A37" s="36"/>
      <c r="B37" s="112" t="s">
        <v>369</v>
      </c>
      <c r="C37" s="473">
        <f>V7</f>
        <v>291</v>
      </c>
      <c r="D37" s="526"/>
      <c r="E37" s="475" t="s">
        <v>375</v>
      </c>
      <c r="F37" s="476"/>
      <c r="G37" s="473">
        <f>C37-K36</f>
        <v>314</v>
      </c>
      <c r="H37" s="474"/>
      <c r="I37" s="101"/>
      <c r="J37" s="86"/>
      <c r="K37" s="86"/>
      <c r="L37" s="86"/>
      <c r="M37" s="86"/>
      <c r="N37" s="86"/>
      <c r="O37" s="86"/>
      <c r="P37" s="86"/>
      <c r="Q37" s="86"/>
      <c r="R37" s="8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4"/>
      <c r="DW37" s="13"/>
      <c r="DX37" s="13"/>
      <c r="DY37" s="13"/>
      <c r="DZ37" s="13"/>
      <c r="EA37" s="13"/>
      <c r="EB37" s="13"/>
      <c r="EC37" s="13"/>
    </row>
    <row r="38" spans="1:133" s="2" customFormat="1" hidden="1">
      <c r="A38" s="36"/>
      <c r="B38" s="112" t="s">
        <v>370</v>
      </c>
      <c r="C38" s="113">
        <f>ABS(C37-C36)</f>
        <v>13.159968809159864</v>
      </c>
      <c r="D38" s="114" t="str">
        <f>IF(C37&gt;C36,"H",IF(C37=C36,"NIL","L"))</f>
        <v>H</v>
      </c>
      <c r="E38" s="475" t="s">
        <v>371</v>
      </c>
      <c r="F38" s="477"/>
      <c r="G38" s="473">
        <f>IF($G$36-$G$37&gt;180,($G$36-$G$37)-360,$G$36-$G$37)</f>
        <v>-36.159968809159864</v>
      </c>
      <c r="H38" s="474"/>
      <c r="I38" s="101"/>
      <c r="J38" s="110" t="s">
        <v>383</v>
      </c>
      <c r="K38" s="86"/>
      <c r="L38" s="86"/>
      <c r="M38" s="86"/>
      <c r="N38" s="86"/>
      <c r="O38" s="86"/>
      <c r="P38" s="108"/>
      <c r="Q38" s="86"/>
      <c r="R38" s="8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4"/>
      <c r="DW38" s="13"/>
      <c r="DX38" s="13"/>
      <c r="DY38" s="13"/>
      <c r="DZ38" s="13"/>
      <c r="EA38" s="13"/>
      <c r="EB38" s="13"/>
      <c r="EC38" s="13"/>
    </row>
    <row r="39" spans="1:133" s="2" customFormat="1" hidden="1">
      <c r="A39" s="36"/>
      <c r="B39" s="478"/>
      <c r="C39" s="479"/>
      <c r="D39" s="480"/>
      <c r="E39" s="475" t="s">
        <v>372</v>
      </c>
      <c r="F39" s="477"/>
      <c r="G39" s="471">
        <f>V8</f>
        <v>-18.5</v>
      </c>
      <c r="H39" s="472"/>
      <c r="I39" s="86"/>
      <c r="J39" s="86"/>
      <c r="K39" s="86"/>
      <c r="L39" s="86"/>
      <c r="M39" s="86"/>
      <c r="N39" s="86"/>
      <c r="O39" s="86"/>
      <c r="P39" s="109"/>
      <c r="Q39" s="86"/>
      <c r="R39" s="8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4"/>
      <c r="DW39" s="13"/>
      <c r="DX39" s="13"/>
      <c r="DY39" s="13"/>
      <c r="DZ39" s="13"/>
      <c r="EA39" s="13"/>
      <c r="EB39" s="13"/>
      <c r="EC39" s="13"/>
    </row>
    <row r="40" spans="1:133" s="2" customFormat="1" ht="13.5" hidden="1" thickBot="1">
      <c r="A40" s="36"/>
      <c r="B40" s="481"/>
      <c r="C40" s="482"/>
      <c r="D40" s="483"/>
      <c r="E40" s="484" t="s">
        <v>373</v>
      </c>
      <c r="F40" s="485"/>
      <c r="G40" s="469">
        <f>G38-G39</f>
        <v>-17.659968809159864</v>
      </c>
      <c r="H40" s="470"/>
      <c r="I40" s="86"/>
      <c r="J40" s="86"/>
      <c r="K40" s="86"/>
      <c r="L40" s="86"/>
      <c r="M40" s="86"/>
      <c r="N40" s="86"/>
      <c r="O40" s="86"/>
      <c r="P40" s="108"/>
      <c r="Q40" s="86"/>
      <c r="R40" s="86"/>
      <c r="S40" s="36"/>
      <c r="T40" s="36"/>
      <c r="U40" s="36"/>
      <c r="V40" s="111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D40" s="13"/>
      <c r="DE40" s="13"/>
      <c r="DF40" s="13"/>
      <c r="DG40" s="13"/>
      <c r="DH40" s="13"/>
      <c r="DI40" s="13"/>
      <c r="DJ40" s="13"/>
      <c r="DK40" s="13"/>
      <c r="DL40" s="13"/>
      <c r="DM40" s="13"/>
      <c r="DN40" s="13"/>
      <c r="DO40" s="13"/>
      <c r="DP40" s="13"/>
      <c r="DQ40" s="13"/>
      <c r="DR40" s="13"/>
      <c r="DS40" s="13"/>
      <c r="DT40" s="13"/>
      <c r="DU40" s="13"/>
      <c r="DV40" s="14"/>
      <c r="DW40" s="13"/>
      <c r="DX40" s="13"/>
      <c r="DY40" s="13"/>
      <c r="DZ40" s="13"/>
      <c r="EA40" s="13"/>
      <c r="EB40" s="13"/>
      <c r="EC40" s="13"/>
    </row>
    <row r="41" spans="1:133" s="2" customFormat="1">
      <c r="A41" s="36"/>
      <c r="B41" s="386" t="s">
        <v>428</v>
      </c>
      <c r="C41" s="385"/>
      <c r="D41" s="385"/>
      <c r="E41" s="386"/>
      <c r="F41" s="386"/>
      <c r="G41" s="387"/>
      <c r="H41" s="387"/>
      <c r="I41" s="86"/>
      <c r="J41" s="86"/>
      <c r="K41" s="86"/>
      <c r="L41" s="86"/>
      <c r="M41" s="86"/>
      <c r="N41" s="86"/>
      <c r="O41" s="86"/>
      <c r="P41" s="108"/>
      <c r="Q41" s="86"/>
      <c r="R41" s="86"/>
      <c r="S41" s="36"/>
      <c r="T41" s="36"/>
      <c r="U41" s="36"/>
      <c r="V41" s="111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4"/>
      <c r="DW41" s="13"/>
      <c r="DX41" s="13"/>
      <c r="DY41" s="13"/>
      <c r="DZ41" s="13"/>
      <c r="EA41" s="13"/>
      <c r="EB41" s="13"/>
      <c r="EC41" s="13"/>
    </row>
    <row r="42" spans="1:133" s="2" customFormat="1" ht="3.75" customHeight="1" thickBot="1">
      <c r="A42" s="36"/>
      <c r="B42" s="102"/>
      <c r="C42" s="102"/>
      <c r="D42" s="102"/>
      <c r="E42" s="102"/>
      <c r="F42" s="102"/>
      <c r="G42" s="102"/>
      <c r="H42" s="102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CS42" s="13"/>
      <c r="CT42" s="13"/>
      <c r="CU42" s="13"/>
      <c r="CV42" s="13"/>
      <c r="CW42" s="13"/>
      <c r="CX42" s="13"/>
      <c r="CY42" s="13"/>
      <c r="CZ42" s="13"/>
      <c r="DA42" s="13"/>
      <c r="DB42" s="13"/>
      <c r="DC42" s="13"/>
      <c r="DD42" s="13"/>
      <c r="DE42" s="13"/>
      <c r="DF42" s="13"/>
      <c r="DG42" s="13"/>
      <c r="DH42" s="13"/>
      <c r="DI42" s="13"/>
      <c r="DJ42" s="13"/>
      <c r="DK42" s="13"/>
      <c r="DL42" s="13"/>
      <c r="DM42" s="13"/>
      <c r="DN42" s="13"/>
      <c r="DO42" s="13"/>
      <c r="DP42" s="13"/>
      <c r="DQ42" s="13"/>
      <c r="DR42" s="13"/>
      <c r="DS42" s="13"/>
      <c r="DT42" s="13"/>
      <c r="DU42" s="13"/>
      <c r="DV42" s="14"/>
      <c r="DW42" s="13"/>
      <c r="DX42" s="13"/>
      <c r="DY42" s="13"/>
      <c r="DZ42" s="13"/>
      <c r="EA42" s="13"/>
      <c r="EB42" s="13"/>
      <c r="EC42" s="13"/>
    </row>
    <row r="43" spans="1:133" s="2" customFormat="1" ht="12.75" customHeight="1">
      <c r="A43" s="375"/>
      <c r="B43" s="492" t="s">
        <v>32</v>
      </c>
      <c r="C43" s="494" t="s">
        <v>405</v>
      </c>
      <c r="D43" s="496" t="s">
        <v>406</v>
      </c>
      <c r="E43" s="497"/>
      <c r="F43" s="498" t="s">
        <v>407</v>
      </c>
      <c r="G43" s="499"/>
      <c r="H43" s="500"/>
      <c r="I43" s="528" t="s">
        <v>408</v>
      </c>
      <c r="J43" s="499"/>
      <c r="K43" s="499"/>
      <c r="L43" s="499" t="s">
        <v>409</v>
      </c>
      <c r="M43" s="499" t="s">
        <v>410</v>
      </c>
      <c r="N43" s="499"/>
      <c r="O43" s="499"/>
      <c r="P43" s="499" t="s">
        <v>404</v>
      </c>
      <c r="Q43" s="499" t="s">
        <v>411</v>
      </c>
      <c r="R43" s="499"/>
      <c r="S43" s="499" t="s">
        <v>412</v>
      </c>
      <c r="T43" s="499" t="s">
        <v>413</v>
      </c>
      <c r="U43" s="346"/>
      <c r="V43" s="510" t="s">
        <v>414</v>
      </c>
      <c r="W43" s="375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13"/>
      <c r="DH43" s="13"/>
      <c r="DI43" s="13"/>
      <c r="DJ43" s="13"/>
      <c r="DK43" s="13"/>
      <c r="DL43" s="13"/>
      <c r="DM43" s="13"/>
      <c r="DN43" s="13"/>
      <c r="DO43" s="13"/>
      <c r="DP43" s="13"/>
      <c r="DQ43" s="13"/>
      <c r="DR43" s="13"/>
      <c r="DS43" s="13"/>
      <c r="DT43" s="13"/>
      <c r="DU43" s="13"/>
      <c r="DV43" s="14"/>
      <c r="DW43" s="13"/>
      <c r="DX43" s="13"/>
      <c r="DY43" s="13"/>
      <c r="DZ43" s="13"/>
      <c r="EA43" s="13"/>
      <c r="EB43" s="13"/>
      <c r="EC43" s="13"/>
    </row>
    <row r="44" spans="1:133" s="2" customFormat="1" ht="13.5" thickBot="1">
      <c r="A44" s="375"/>
      <c r="B44" s="493"/>
      <c r="C44" s="495"/>
      <c r="D44" s="347" t="s">
        <v>415</v>
      </c>
      <c r="E44" s="348" t="s">
        <v>416</v>
      </c>
      <c r="F44" s="349" t="s">
        <v>417</v>
      </c>
      <c r="G44" s="350" t="s">
        <v>418</v>
      </c>
      <c r="H44" s="348" t="s">
        <v>419</v>
      </c>
      <c r="I44" s="351" t="s">
        <v>420</v>
      </c>
      <c r="J44" s="350" t="s">
        <v>417</v>
      </c>
      <c r="K44" s="350" t="s">
        <v>418</v>
      </c>
      <c r="L44" s="509"/>
      <c r="M44" s="350" t="s">
        <v>417</v>
      </c>
      <c r="N44" s="350" t="s">
        <v>418</v>
      </c>
      <c r="O44" s="350" t="s">
        <v>419</v>
      </c>
      <c r="P44" s="509"/>
      <c r="Q44" s="350" t="s">
        <v>418</v>
      </c>
      <c r="R44" s="350" t="s">
        <v>419</v>
      </c>
      <c r="S44" s="509"/>
      <c r="T44" s="509"/>
      <c r="U44" s="350"/>
      <c r="V44" s="511"/>
      <c r="W44" s="375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4"/>
      <c r="DW44" s="13"/>
      <c r="DX44" s="13"/>
      <c r="DY44" s="13"/>
      <c r="DZ44" s="13"/>
      <c r="EA44" s="13"/>
      <c r="EB44" s="13"/>
      <c r="EC44" s="13"/>
    </row>
    <row r="45" spans="1:133" s="2" customFormat="1">
      <c r="A45" s="375"/>
      <c r="B45" s="365">
        <f>L4</f>
        <v>45910</v>
      </c>
      <c r="C45" s="352" t="str">
        <f>L6&amp;":"&amp;M6&amp;":"&amp;N6</f>
        <v>14:50:0</v>
      </c>
      <c r="D45" s="353" t="str">
        <f>Q4&amp;"-"&amp;R4&amp;" "&amp;S4</f>
        <v>37-12 N</v>
      </c>
      <c r="E45" s="354" t="str">
        <f>Q5&amp;"-"&amp;R5&amp;" "&amp;S5</f>
        <v>53-30 E</v>
      </c>
      <c r="F45" s="355">
        <f>Q7</f>
        <v>302</v>
      </c>
      <c r="G45" s="356">
        <f>Q8</f>
        <v>325</v>
      </c>
      <c r="H45" s="381" t="s">
        <v>424</v>
      </c>
      <c r="I45" s="382">
        <f>C36</f>
        <v>277.84003119084014</v>
      </c>
      <c r="J45" s="356">
        <f>V7</f>
        <v>291</v>
      </c>
      <c r="K45" s="383" t="s">
        <v>424</v>
      </c>
      <c r="L45" s="356" t="str">
        <f>L8</f>
        <v>Sun</v>
      </c>
      <c r="M45" s="384">
        <f>C38</f>
        <v>13.159968809159864</v>
      </c>
      <c r="N45" s="384">
        <f>G38</f>
        <v>-36.159968809159864</v>
      </c>
      <c r="O45" s="383" t="s">
        <v>424</v>
      </c>
      <c r="P45" s="356">
        <f>V8</f>
        <v>-18.5</v>
      </c>
      <c r="Q45" s="384">
        <f>G40</f>
        <v>-17.659968809159864</v>
      </c>
      <c r="R45" s="383" t="s">
        <v>424</v>
      </c>
      <c r="S45" s="383" t="s">
        <v>425</v>
      </c>
      <c r="T45" s="356" t="s">
        <v>426</v>
      </c>
      <c r="U45" s="356"/>
      <c r="V45" s="364" t="s">
        <v>427</v>
      </c>
      <c r="W45" s="375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CS45" s="13"/>
      <c r="CT45" s="13"/>
      <c r="CU45" s="13"/>
      <c r="CV45" s="13"/>
      <c r="CW45" s="13"/>
      <c r="CX45" s="13"/>
      <c r="CY45" s="13"/>
      <c r="CZ45" s="13"/>
      <c r="DA45" s="13"/>
      <c r="DB45" s="13"/>
      <c r="DC45" s="13"/>
      <c r="DD45" s="13"/>
      <c r="DE45" s="13"/>
      <c r="DF45" s="13"/>
      <c r="DG45" s="13"/>
      <c r="DH45" s="13"/>
      <c r="DI45" s="13"/>
      <c r="DJ45" s="13"/>
      <c r="DK45" s="13"/>
      <c r="DL45" s="13"/>
      <c r="DM45" s="13"/>
      <c r="DN45" s="13"/>
      <c r="DO45" s="13"/>
      <c r="DP45" s="13"/>
      <c r="DQ45" s="13"/>
      <c r="DR45" s="13"/>
      <c r="DS45" s="13"/>
      <c r="DT45" s="13"/>
      <c r="DU45" s="13"/>
      <c r="DV45" s="14"/>
      <c r="DW45" s="13"/>
      <c r="DX45" s="13"/>
      <c r="DY45" s="13"/>
      <c r="DZ45" s="13"/>
      <c r="EA45" s="13"/>
      <c r="EB45" s="13"/>
      <c r="EC45" s="13"/>
    </row>
    <row r="46" spans="1:133" s="2" customFormat="1">
      <c r="A46" s="375"/>
      <c r="B46" s="366"/>
      <c r="C46" s="358"/>
      <c r="D46" s="359"/>
      <c r="E46" s="360"/>
      <c r="F46" s="361"/>
      <c r="G46" s="362"/>
      <c r="H46" s="360"/>
      <c r="I46" s="363"/>
      <c r="J46" s="362"/>
      <c r="K46" s="362"/>
      <c r="L46" s="362"/>
      <c r="M46" s="362"/>
      <c r="N46" s="362"/>
      <c r="O46" s="362"/>
      <c r="P46" s="362"/>
      <c r="Q46" s="362"/>
      <c r="R46" s="362"/>
      <c r="S46" s="362"/>
      <c r="T46" s="362"/>
      <c r="U46" s="362"/>
      <c r="V46" s="357"/>
      <c r="W46" s="375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D46" s="13"/>
      <c r="DE46" s="13"/>
      <c r="DF46" s="13"/>
      <c r="DG46" s="13"/>
      <c r="DH46" s="13"/>
      <c r="DI46" s="13"/>
      <c r="DJ46" s="13"/>
      <c r="DK46" s="13"/>
      <c r="DL46" s="13"/>
      <c r="DM46" s="13"/>
      <c r="DN46" s="13"/>
      <c r="DO46" s="13"/>
      <c r="DP46" s="13"/>
      <c r="DQ46" s="13"/>
      <c r="DR46" s="13"/>
      <c r="DS46" s="13"/>
      <c r="DT46" s="13"/>
      <c r="DU46" s="13"/>
      <c r="DV46" s="14"/>
      <c r="DW46" s="13"/>
      <c r="DX46" s="13"/>
      <c r="DY46" s="13"/>
      <c r="DZ46" s="13"/>
      <c r="EA46" s="13"/>
      <c r="EB46" s="13"/>
      <c r="EC46" s="13"/>
    </row>
    <row r="47" spans="1:133" s="2" customFormat="1">
      <c r="A47" s="375"/>
      <c r="B47" s="367"/>
      <c r="C47" s="368"/>
      <c r="D47" s="369"/>
      <c r="E47" s="370"/>
      <c r="F47" s="371"/>
      <c r="G47" s="372"/>
      <c r="H47" s="370"/>
      <c r="I47" s="373"/>
      <c r="J47" s="372"/>
      <c r="K47" s="372"/>
      <c r="L47" s="372"/>
      <c r="M47" s="372"/>
      <c r="N47" s="372"/>
      <c r="O47" s="372"/>
      <c r="P47" s="372"/>
      <c r="Q47" s="372"/>
      <c r="R47" s="372"/>
      <c r="S47" s="372"/>
      <c r="T47" s="372"/>
      <c r="U47" s="372"/>
      <c r="V47" s="374"/>
      <c r="W47" s="375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4"/>
      <c r="DW47" s="13"/>
      <c r="DX47" s="13"/>
      <c r="DY47" s="13"/>
      <c r="DZ47" s="13"/>
      <c r="EA47" s="13"/>
      <c r="EB47" s="13"/>
      <c r="EC47" s="13"/>
    </row>
    <row r="48" spans="1:133" s="2" customFormat="1">
      <c r="A48" s="36"/>
      <c r="B48" s="376"/>
      <c r="C48" s="42"/>
      <c r="D48" s="43"/>
      <c r="E48" s="375"/>
      <c r="F48" s="375"/>
      <c r="G48" s="375"/>
      <c r="H48" s="375"/>
      <c r="I48" s="375"/>
      <c r="J48" s="375"/>
      <c r="K48" s="375"/>
      <c r="L48" s="375"/>
      <c r="M48" s="375"/>
      <c r="N48" s="375"/>
      <c r="O48" s="375"/>
      <c r="P48" s="375"/>
      <c r="Q48" s="375"/>
      <c r="R48" s="375"/>
      <c r="S48" s="375"/>
      <c r="T48" s="375"/>
      <c r="U48" s="375"/>
      <c r="V48" s="375"/>
      <c r="W48" s="375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4"/>
      <c r="DW48" s="13"/>
      <c r="DX48" s="13"/>
      <c r="DY48" s="13"/>
      <c r="DZ48" s="13"/>
      <c r="EA48" s="13"/>
      <c r="EB48" s="13"/>
      <c r="EC48" s="13"/>
    </row>
    <row r="49" spans="1:133" s="2" customFormat="1">
      <c r="A49" s="36"/>
      <c r="B49" s="38"/>
      <c r="C49" s="42"/>
      <c r="D49" s="43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  <c r="DD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4"/>
      <c r="DW49" s="13"/>
      <c r="DX49" s="13"/>
      <c r="DY49" s="13"/>
      <c r="DZ49" s="13"/>
      <c r="EA49" s="13"/>
      <c r="EB49" s="13"/>
      <c r="EC49" s="13"/>
    </row>
    <row r="50" spans="1:133" s="2" customFormat="1">
      <c r="A50" s="36"/>
      <c r="B50" s="38"/>
      <c r="C50" s="42"/>
      <c r="D50" s="43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4"/>
      <c r="DW50" s="13"/>
      <c r="DX50" s="13"/>
      <c r="DY50" s="13"/>
      <c r="DZ50" s="13"/>
      <c r="EA50" s="13"/>
      <c r="EB50" s="13"/>
      <c r="EC50" s="13"/>
    </row>
    <row r="51" spans="1:133" s="2" customFormat="1">
      <c r="A51" s="36"/>
      <c r="B51" s="38"/>
      <c r="C51" s="42"/>
      <c r="D51" s="43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4"/>
      <c r="DW51" s="13"/>
      <c r="DX51" s="13"/>
      <c r="DY51" s="13"/>
      <c r="DZ51" s="13"/>
      <c r="EA51" s="13"/>
      <c r="EB51" s="13"/>
      <c r="EC51" s="13"/>
    </row>
    <row r="52" spans="1:133" s="2" customFormat="1">
      <c r="A52" s="36"/>
      <c r="B52" s="38"/>
      <c r="C52" s="42"/>
      <c r="D52" s="43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4"/>
      <c r="DW52" s="13"/>
      <c r="DX52" s="13"/>
      <c r="DY52" s="13"/>
      <c r="DZ52" s="13"/>
      <c r="EA52" s="13"/>
      <c r="EB52" s="13"/>
      <c r="EC52" s="13"/>
    </row>
    <row r="53" spans="1:133" s="2" customFormat="1">
      <c r="A53" s="36"/>
      <c r="B53" s="38"/>
      <c r="C53" s="42"/>
      <c r="D53" s="43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4"/>
      <c r="DW53" s="13"/>
      <c r="DX53" s="13"/>
      <c r="DY53" s="13"/>
      <c r="DZ53" s="13"/>
      <c r="EA53" s="13"/>
      <c r="EB53" s="13"/>
      <c r="EC53" s="13"/>
    </row>
    <row r="54" spans="1:133" s="2" customFormat="1">
      <c r="A54" s="36"/>
      <c r="B54" s="38"/>
      <c r="C54" s="42"/>
      <c r="D54" s="43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4"/>
      <c r="DW54" s="13"/>
      <c r="DX54" s="13"/>
      <c r="DY54" s="13"/>
      <c r="DZ54" s="13"/>
      <c r="EA54" s="13"/>
      <c r="EB54" s="13"/>
      <c r="EC54" s="13"/>
    </row>
    <row r="55" spans="1:133" s="2" customFormat="1">
      <c r="A55" s="36"/>
      <c r="B55" s="38"/>
      <c r="C55" s="42"/>
      <c r="D55" s="43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4"/>
      <c r="DW55" s="13"/>
      <c r="DX55" s="13"/>
      <c r="DY55" s="13"/>
      <c r="DZ55" s="13"/>
      <c r="EA55" s="13"/>
      <c r="EB55" s="13"/>
      <c r="EC55" s="13"/>
    </row>
    <row r="56" spans="1:133" s="2" customFormat="1">
      <c r="A56" s="36"/>
      <c r="B56" s="38"/>
      <c r="C56" s="42"/>
      <c r="D56" s="43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4"/>
      <c r="DW56" s="13"/>
      <c r="DX56" s="13"/>
      <c r="DY56" s="13"/>
      <c r="DZ56" s="13"/>
      <c r="EA56" s="13"/>
      <c r="EB56" s="13"/>
      <c r="EC56" s="13"/>
    </row>
    <row r="57" spans="1:133" s="2" customFormat="1">
      <c r="A57" s="36"/>
      <c r="B57" s="38"/>
      <c r="C57" s="42"/>
      <c r="D57" s="43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CS57" s="13"/>
      <c r="CT57" s="13"/>
      <c r="CU57" s="13"/>
      <c r="CV57" s="13"/>
      <c r="CW57" s="13"/>
      <c r="CX57" s="13"/>
      <c r="CY57" s="13"/>
      <c r="CZ57" s="13"/>
      <c r="DA57" s="13"/>
      <c r="DB57" s="13"/>
      <c r="DC57" s="13"/>
      <c r="DD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4"/>
      <c r="DW57" s="13"/>
      <c r="DX57" s="13"/>
      <c r="DY57" s="13"/>
      <c r="DZ57" s="13"/>
      <c r="EA57" s="13"/>
      <c r="EB57" s="13"/>
      <c r="EC57" s="13"/>
    </row>
    <row r="58" spans="1:133" s="2" customFormat="1">
      <c r="A58" s="36"/>
      <c r="B58" s="38"/>
      <c r="C58" s="42"/>
      <c r="D58" s="43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4"/>
      <c r="DW58" s="13"/>
      <c r="DX58" s="13"/>
      <c r="DY58" s="13"/>
      <c r="DZ58" s="13"/>
      <c r="EA58" s="13"/>
      <c r="EB58" s="13"/>
      <c r="EC58" s="13"/>
    </row>
    <row r="59" spans="1:133" s="2" customFormat="1">
      <c r="A59" s="36"/>
      <c r="B59" s="38"/>
      <c r="C59" s="42"/>
      <c r="D59" s="43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4"/>
      <c r="DW59" s="13"/>
      <c r="DX59" s="13"/>
      <c r="DY59" s="13"/>
      <c r="DZ59" s="13"/>
      <c r="EA59" s="13"/>
      <c r="EB59" s="13"/>
      <c r="EC59" s="13"/>
    </row>
    <row r="60" spans="1:133" s="2" customFormat="1">
      <c r="A60" s="36"/>
      <c r="B60" s="38"/>
      <c r="C60" s="42"/>
      <c r="D60" s="43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CS60" s="13"/>
      <c r="CT60" s="13"/>
      <c r="CU60" s="13"/>
      <c r="CV60" s="13"/>
      <c r="CW60" s="13"/>
      <c r="CX60" s="13"/>
      <c r="CY60" s="13"/>
      <c r="CZ60" s="13"/>
      <c r="DA60" s="13"/>
      <c r="DB60" s="13"/>
      <c r="DC60" s="13"/>
      <c r="DD60" s="13"/>
      <c r="DE60" s="13"/>
      <c r="DF60" s="13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14"/>
      <c r="DW60" s="13"/>
      <c r="DX60" s="13"/>
      <c r="DY60" s="13"/>
      <c r="DZ60" s="13"/>
      <c r="EA60" s="13"/>
      <c r="EB60" s="13"/>
      <c r="EC60" s="13"/>
    </row>
    <row r="61" spans="1:133" s="2" customFormat="1">
      <c r="A61" s="36"/>
      <c r="B61" s="38"/>
      <c r="C61" s="42"/>
      <c r="D61" s="43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4"/>
      <c r="DW61" s="13"/>
      <c r="DX61" s="13"/>
      <c r="DY61" s="13"/>
      <c r="DZ61" s="13"/>
      <c r="EA61" s="13"/>
      <c r="EB61" s="13"/>
      <c r="EC61" s="13"/>
    </row>
    <row r="62" spans="1:133" s="2" customFormat="1">
      <c r="A62" s="36"/>
      <c r="B62" s="38"/>
      <c r="C62" s="42"/>
      <c r="D62" s="43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D62" s="13"/>
      <c r="DE62" s="13"/>
      <c r="DF62" s="13"/>
      <c r="DG62" s="13"/>
      <c r="DH62" s="13"/>
      <c r="DI62" s="13"/>
      <c r="DJ62" s="13"/>
      <c r="DK62" s="13"/>
      <c r="DL62" s="13"/>
      <c r="DM62" s="13"/>
      <c r="DN62" s="13"/>
      <c r="DO62" s="13"/>
      <c r="DP62" s="13"/>
      <c r="DQ62" s="13"/>
      <c r="DR62" s="13"/>
      <c r="DS62" s="13"/>
      <c r="DT62" s="13"/>
      <c r="DU62" s="13"/>
      <c r="DV62" s="14"/>
      <c r="DW62" s="13"/>
      <c r="DX62" s="13"/>
      <c r="DY62" s="13"/>
      <c r="DZ62" s="13"/>
      <c r="EA62" s="13"/>
      <c r="EB62" s="13"/>
      <c r="EC62" s="13"/>
    </row>
    <row r="63" spans="1:133" s="2" customFormat="1">
      <c r="A63" s="36"/>
      <c r="B63" s="38"/>
      <c r="C63" s="42"/>
      <c r="D63" s="43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CS63" s="13"/>
      <c r="CT63" s="13"/>
      <c r="CU63" s="13"/>
      <c r="CV63" s="13"/>
      <c r="CW63" s="13"/>
      <c r="CX63" s="13"/>
      <c r="CY63" s="13"/>
      <c r="CZ63" s="13"/>
      <c r="DA63" s="13"/>
      <c r="DB63" s="13"/>
      <c r="DC63" s="13"/>
      <c r="DD63" s="13"/>
      <c r="DE63" s="13"/>
      <c r="DF63" s="13"/>
      <c r="DG63" s="13"/>
      <c r="DH63" s="13"/>
      <c r="DI63" s="13"/>
      <c r="DJ63" s="13"/>
      <c r="DK63" s="13"/>
      <c r="DL63" s="13"/>
      <c r="DM63" s="13"/>
      <c r="DN63" s="13"/>
      <c r="DO63" s="13"/>
      <c r="DP63" s="13"/>
      <c r="DQ63" s="13"/>
      <c r="DR63" s="13"/>
      <c r="DS63" s="13"/>
      <c r="DT63" s="13"/>
      <c r="DU63" s="13"/>
      <c r="DV63" s="14"/>
      <c r="DW63" s="13"/>
      <c r="DX63" s="13"/>
      <c r="DY63" s="13"/>
      <c r="DZ63" s="13"/>
      <c r="EA63" s="13"/>
      <c r="EB63" s="13"/>
      <c r="EC63" s="13"/>
    </row>
    <row r="64" spans="1:133" s="2" customFormat="1">
      <c r="A64" s="36"/>
      <c r="B64" s="38"/>
      <c r="C64" s="42"/>
      <c r="D64" s="43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CS64" s="13"/>
      <c r="CT64" s="13"/>
      <c r="CU64" s="13"/>
      <c r="CV64" s="13"/>
      <c r="CW64" s="13"/>
      <c r="CX64" s="13"/>
      <c r="CY64" s="13"/>
      <c r="CZ64" s="13"/>
      <c r="DA64" s="13"/>
      <c r="DB64" s="13"/>
      <c r="DC64" s="13"/>
      <c r="DD64" s="13"/>
      <c r="DE64" s="13"/>
      <c r="DF64" s="13"/>
      <c r="DG64" s="13"/>
      <c r="DH64" s="13"/>
      <c r="DI64" s="13"/>
      <c r="DJ64" s="13"/>
      <c r="DK64" s="13"/>
      <c r="DL64" s="13"/>
      <c r="DM64" s="13"/>
      <c r="DN64" s="13"/>
      <c r="DO64" s="13"/>
      <c r="DP64" s="13"/>
      <c r="DQ64" s="13"/>
      <c r="DR64" s="13"/>
      <c r="DS64" s="13"/>
      <c r="DT64" s="13"/>
      <c r="DU64" s="13"/>
      <c r="DV64" s="14"/>
      <c r="DW64" s="13"/>
      <c r="DX64" s="13"/>
      <c r="DY64" s="13"/>
      <c r="DZ64" s="13"/>
      <c r="EA64" s="13"/>
      <c r="EB64" s="13"/>
      <c r="EC64" s="13"/>
    </row>
    <row r="65" spans="1:133" s="2" customFormat="1">
      <c r="A65" s="36"/>
      <c r="B65" s="38"/>
      <c r="C65" s="42"/>
      <c r="D65" s="43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CS65" s="13"/>
      <c r="CT65" s="13"/>
      <c r="CU65" s="13"/>
      <c r="CV65" s="13"/>
      <c r="CW65" s="13"/>
      <c r="CX65" s="13"/>
      <c r="CY65" s="13"/>
      <c r="CZ65" s="13"/>
      <c r="DA65" s="13"/>
      <c r="DB65" s="13"/>
      <c r="DC65" s="13"/>
      <c r="DD65" s="13"/>
      <c r="DE65" s="13"/>
      <c r="DF65" s="13"/>
      <c r="DG65" s="13"/>
      <c r="DH65" s="13"/>
      <c r="DI65" s="13"/>
      <c r="DJ65" s="13"/>
      <c r="DK65" s="13"/>
      <c r="DL65" s="13"/>
      <c r="DM65" s="13"/>
      <c r="DN65" s="13"/>
      <c r="DO65" s="13"/>
      <c r="DP65" s="13"/>
      <c r="DQ65" s="13"/>
      <c r="DR65" s="13"/>
      <c r="DS65" s="13"/>
      <c r="DT65" s="13"/>
      <c r="DU65" s="13"/>
      <c r="DV65" s="14"/>
      <c r="DW65" s="13"/>
      <c r="DX65" s="13"/>
      <c r="DY65" s="13"/>
      <c r="DZ65" s="13"/>
      <c r="EA65" s="13"/>
      <c r="EB65" s="13"/>
      <c r="EC65" s="13"/>
    </row>
    <row r="66" spans="1:133" s="2" customFormat="1">
      <c r="A66" s="36"/>
      <c r="B66" s="38"/>
      <c r="C66" s="42"/>
      <c r="D66" s="43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CS66" s="13"/>
      <c r="CT66" s="13"/>
      <c r="CU66" s="13"/>
      <c r="CV66" s="13"/>
      <c r="CW66" s="13"/>
      <c r="CX66" s="13"/>
      <c r="CY66" s="13"/>
      <c r="CZ66" s="13"/>
      <c r="DA66" s="13"/>
      <c r="DB66" s="13"/>
      <c r="DC66" s="13"/>
      <c r="DD66" s="13"/>
      <c r="DE66" s="13"/>
      <c r="DF66" s="13"/>
      <c r="DG66" s="13"/>
      <c r="DH66" s="13"/>
      <c r="DI66" s="13"/>
      <c r="DJ66" s="13"/>
      <c r="DK66" s="13"/>
      <c r="DL66" s="13"/>
      <c r="DM66" s="13"/>
      <c r="DN66" s="13"/>
      <c r="DO66" s="13"/>
      <c r="DP66" s="13"/>
      <c r="DQ66" s="13"/>
      <c r="DR66" s="13"/>
      <c r="DS66" s="13"/>
      <c r="DT66" s="13"/>
      <c r="DU66" s="13"/>
      <c r="DV66" s="14"/>
      <c r="DW66" s="13"/>
      <c r="DX66" s="13"/>
      <c r="DY66" s="13"/>
      <c r="DZ66" s="13"/>
      <c r="EA66" s="13"/>
      <c r="EB66" s="13"/>
      <c r="EC66" s="13"/>
    </row>
    <row r="67" spans="1:133" s="2" customFormat="1">
      <c r="A67" s="36"/>
      <c r="B67" s="38"/>
      <c r="C67" s="42"/>
      <c r="D67" s="43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CS67" s="13"/>
      <c r="CT67" s="13"/>
      <c r="CU67" s="13"/>
      <c r="CV67" s="13"/>
      <c r="CW67" s="13"/>
      <c r="CX67" s="13"/>
      <c r="CY67" s="13"/>
      <c r="CZ67" s="13"/>
      <c r="DA67" s="13"/>
      <c r="DB67" s="13"/>
      <c r="DC67" s="13"/>
      <c r="DD67" s="13"/>
      <c r="DE67" s="13"/>
      <c r="DF67" s="13"/>
      <c r="DG67" s="13"/>
      <c r="DH67" s="13"/>
      <c r="DI67" s="13"/>
      <c r="DJ67" s="13"/>
      <c r="DK67" s="13"/>
      <c r="DL67" s="13"/>
      <c r="DM67" s="13"/>
      <c r="DN67" s="13"/>
      <c r="DO67" s="13"/>
      <c r="DP67" s="13"/>
      <c r="DQ67" s="13"/>
      <c r="DR67" s="13"/>
      <c r="DS67" s="13"/>
      <c r="DT67" s="13"/>
      <c r="DU67" s="13"/>
      <c r="DV67" s="14"/>
      <c r="DW67" s="13"/>
      <c r="DX67" s="13"/>
      <c r="DY67" s="13"/>
      <c r="DZ67" s="13"/>
      <c r="EA67" s="13"/>
      <c r="EB67" s="13"/>
      <c r="EC67" s="13"/>
    </row>
    <row r="68" spans="1:133" s="2" customFormat="1">
      <c r="A68" s="36"/>
      <c r="B68" s="38"/>
      <c r="C68" s="42"/>
      <c r="D68" s="43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CS68" s="13"/>
      <c r="CT68" s="13"/>
      <c r="CU68" s="13"/>
      <c r="CV68" s="13"/>
      <c r="CW68" s="13"/>
      <c r="CX68" s="13"/>
      <c r="CY68" s="13"/>
      <c r="CZ68" s="13"/>
      <c r="DA68" s="13"/>
      <c r="DB68" s="13"/>
      <c r="DC68" s="13"/>
      <c r="DD68" s="13"/>
      <c r="DE68" s="13"/>
      <c r="DF68" s="13"/>
      <c r="DG68" s="13"/>
      <c r="DH68" s="13"/>
      <c r="DI68" s="13"/>
      <c r="DJ68" s="13"/>
      <c r="DK68" s="13"/>
      <c r="DL68" s="13"/>
      <c r="DM68" s="13"/>
      <c r="DN68" s="13"/>
      <c r="DO68" s="13"/>
      <c r="DP68" s="13"/>
      <c r="DQ68" s="13"/>
      <c r="DR68" s="13"/>
      <c r="DS68" s="13"/>
      <c r="DT68" s="13"/>
      <c r="DU68" s="13"/>
      <c r="DV68" s="14"/>
      <c r="DW68" s="13"/>
      <c r="DX68" s="13"/>
      <c r="DY68" s="13"/>
      <c r="DZ68" s="13"/>
      <c r="EA68" s="13"/>
      <c r="EB68" s="13"/>
      <c r="EC68" s="13"/>
    </row>
    <row r="69" spans="1:133" s="2" customFormat="1">
      <c r="A69" s="36"/>
      <c r="B69" s="38"/>
      <c r="C69" s="42"/>
      <c r="D69" s="43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4"/>
      <c r="DW69" s="13"/>
      <c r="DX69" s="13"/>
      <c r="DY69" s="13"/>
      <c r="DZ69" s="13"/>
      <c r="EA69" s="13"/>
      <c r="EB69" s="13"/>
      <c r="EC69" s="13"/>
    </row>
    <row r="70" spans="1:133" s="2" customFormat="1">
      <c r="A70" s="36"/>
      <c r="B70" s="38"/>
      <c r="C70" s="42"/>
      <c r="D70" s="43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4"/>
      <c r="DW70" s="13"/>
      <c r="DX70" s="13"/>
      <c r="DY70" s="13"/>
      <c r="DZ70" s="13"/>
      <c r="EA70" s="13"/>
      <c r="EB70" s="13"/>
      <c r="EC70" s="13"/>
    </row>
    <row r="71" spans="1:133" s="2" customFormat="1">
      <c r="A71" s="36"/>
      <c r="B71" s="38"/>
      <c r="C71" s="42"/>
      <c r="D71" s="43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CS71" s="13"/>
      <c r="CT71" s="13"/>
      <c r="CU71" s="13"/>
      <c r="CV71" s="13"/>
      <c r="CW71" s="13"/>
      <c r="CX71" s="13"/>
      <c r="CY71" s="13"/>
      <c r="CZ71" s="13"/>
      <c r="DA71" s="13"/>
      <c r="DB71" s="13"/>
      <c r="DC71" s="13"/>
      <c r="DD71" s="13"/>
      <c r="DE71" s="13"/>
      <c r="DF71" s="13"/>
      <c r="DG71" s="13"/>
      <c r="DH71" s="13"/>
      <c r="DI71" s="13"/>
      <c r="DJ71" s="13"/>
      <c r="DK71" s="13"/>
      <c r="DL71" s="13"/>
      <c r="DM71" s="13"/>
      <c r="DN71" s="13"/>
      <c r="DO71" s="13"/>
      <c r="DP71" s="13"/>
      <c r="DQ71" s="13"/>
      <c r="DR71" s="13"/>
      <c r="DS71" s="13"/>
      <c r="DT71" s="13"/>
      <c r="DU71" s="13"/>
      <c r="DV71" s="14"/>
      <c r="DW71" s="13"/>
      <c r="DX71" s="13"/>
      <c r="DY71" s="13"/>
      <c r="DZ71" s="13"/>
      <c r="EA71" s="13"/>
      <c r="EB71" s="13"/>
      <c r="EC71" s="13"/>
    </row>
    <row r="72" spans="1:133" s="2" customFormat="1">
      <c r="A72" s="36"/>
      <c r="B72" s="38"/>
      <c r="C72" s="42"/>
      <c r="D72" s="43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CS72" s="13"/>
      <c r="CT72" s="13"/>
      <c r="CU72" s="13"/>
      <c r="CV72" s="13"/>
      <c r="CW72" s="13"/>
      <c r="CX72" s="13"/>
      <c r="CY72" s="13"/>
      <c r="CZ72" s="13"/>
      <c r="DA72" s="13"/>
      <c r="DB72" s="13"/>
      <c r="DC72" s="13"/>
      <c r="DD72" s="13"/>
      <c r="DE72" s="13"/>
      <c r="DF72" s="13"/>
      <c r="DG72" s="13"/>
      <c r="DH72" s="13"/>
      <c r="DI72" s="13"/>
      <c r="DJ72" s="13"/>
      <c r="DK72" s="13"/>
      <c r="DL72" s="13"/>
      <c r="DM72" s="13"/>
      <c r="DN72" s="13"/>
      <c r="DO72" s="13"/>
      <c r="DP72" s="13"/>
      <c r="DQ72" s="13"/>
      <c r="DR72" s="13"/>
      <c r="DS72" s="13"/>
      <c r="DT72" s="13"/>
      <c r="DU72" s="13"/>
      <c r="DV72" s="14"/>
      <c r="DW72" s="13"/>
      <c r="DX72" s="13"/>
      <c r="DY72" s="13"/>
      <c r="DZ72" s="13"/>
      <c r="EA72" s="13"/>
      <c r="EB72" s="13"/>
      <c r="EC72" s="13"/>
    </row>
    <row r="73" spans="1:133" s="2" customFormat="1">
      <c r="A73" s="36"/>
      <c r="B73" s="38"/>
      <c r="C73" s="42"/>
      <c r="D73" s="43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CS73" s="13"/>
      <c r="CT73" s="13"/>
      <c r="CU73" s="13"/>
      <c r="CV73" s="13"/>
      <c r="CW73" s="13"/>
      <c r="CX73" s="13"/>
      <c r="CY73" s="13"/>
      <c r="CZ73" s="13"/>
      <c r="DA73" s="13"/>
      <c r="DB73" s="13"/>
      <c r="DC73" s="13"/>
      <c r="DD73" s="13"/>
      <c r="DE73" s="13"/>
      <c r="DF73" s="13"/>
      <c r="DG73" s="13"/>
      <c r="DH73" s="13"/>
      <c r="DI73" s="13"/>
      <c r="DJ73" s="13"/>
      <c r="DK73" s="13"/>
      <c r="DL73" s="13"/>
      <c r="DM73" s="13"/>
      <c r="DN73" s="13"/>
      <c r="DO73" s="13"/>
      <c r="DP73" s="13"/>
      <c r="DQ73" s="13"/>
      <c r="DR73" s="13"/>
      <c r="DS73" s="13"/>
      <c r="DT73" s="13"/>
      <c r="DU73" s="13"/>
      <c r="DV73" s="14"/>
      <c r="DW73" s="13"/>
      <c r="DX73" s="13"/>
      <c r="DY73" s="13"/>
      <c r="DZ73" s="13"/>
      <c r="EA73" s="13"/>
      <c r="EB73" s="13"/>
      <c r="EC73" s="13"/>
    </row>
    <row r="74" spans="1:133" s="2" customFormat="1">
      <c r="A74" s="36"/>
      <c r="B74" s="38"/>
      <c r="C74" s="42"/>
      <c r="D74" s="43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4"/>
      <c r="DW74" s="13"/>
      <c r="DX74" s="13"/>
      <c r="DY74" s="13"/>
      <c r="DZ74" s="13"/>
      <c r="EA74" s="13"/>
      <c r="EB74" s="13"/>
      <c r="EC74" s="13"/>
    </row>
    <row r="75" spans="1:133" s="2" customFormat="1">
      <c r="A75" s="36"/>
      <c r="B75" s="38"/>
      <c r="C75" s="42"/>
      <c r="D75" s="43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CS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4"/>
      <c r="DW75" s="13"/>
      <c r="DX75" s="13"/>
      <c r="DY75" s="13"/>
      <c r="DZ75" s="13"/>
      <c r="EA75" s="13"/>
      <c r="EB75" s="13"/>
      <c r="EC75" s="13"/>
    </row>
    <row r="76" spans="1:133" s="2" customFormat="1">
      <c r="A76" s="36"/>
      <c r="B76" s="38"/>
      <c r="C76" s="42"/>
      <c r="D76" s="43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4"/>
      <c r="DW76" s="13"/>
      <c r="DX76" s="13"/>
      <c r="DY76" s="13"/>
      <c r="DZ76" s="13"/>
      <c r="EA76" s="13"/>
      <c r="EB76" s="13"/>
      <c r="EC76" s="13"/>
    </row>
    <row r="77" spans="1:133" s="2" customFormat="1">
      <c r="A77" s="36"/>
      <c r="B77" s="38"/>
      <c r="C77" s="42"/>
      <c r="D77" s="43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4"/>
      <c r="DW77" s="13"/>
      <c r="DX77" s="13"/>
      <c r="DY77" s="13"/>
      <c r="DZ77" s="13"/>
      <c r="EA77" s="13"/>
      <c r="EB77" s="13"/>
      <c r="EC77" s="13"/>
    </row>
    <row r="78" spans="1:133" s="2" customFormat="1">
      <c r="A78" s="36"/>
      <c r="B78" s="38"/>
      <c r="C78" s="42"/>
      <c r="D78" s="43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4"/>
      <c r="DW78" s="13"/>
      <c r="DX78" s="13"/>
      <c r="DY78" s="13"/>
      <c r="DZ78" s="13"/>
      <c r="EA78" s="13"/>
      <c r="EB78" s="13"/>
      <c r="EC78" s="13"/>
    </row>
    <row r="79" spans="1:133" s="2" customFormat="1">
      <c r="A79" s="36"/>
      <c r="B79" s="38"/>
      <c r="C79" s="42"/>
      <c r="D79" s="43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4"/>
      <c r="DW79" s="13"/>
      <c r="DX79" s="13"/>
      <c r="DY79" s="13"/>
      <c r="DZ79" s="13"/>
      <c r="EA79" s="13"/>
      <c r="EB79" s="13"/>
      <c r="EC79" s="13"/>
    </row>
    <row r="80" spans="1:133" s="2" customFormat="1">
      <c r="A80" s="36"/>
      <c r="B80" s="38"/>
      <c r="C80" s="42"/>
      <c r="D80" s="43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4"/>
      <c r="DW80" s="13"/>
      <c r="DX80" s="13"/>
      <c r="DY80" s="13"/>
      <c r="DZ80" s="13"/>
      <c r="EA80" s="13"/>
      <c r="EB80" s="13"/>
      <c r="EC80" s="13"/>
    </row>
    <row r="81" spans="1:133" s="2" customFormat="1">
      <c r="A81" s="36"/>
      <c r="B81" s="38"/>
      <c r="C81" s="42"/>
      <c r="D81" s="43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4"/>
      <c r="DW81" s="13"/>
      <c r="DX81" s="13"/>
      <c r="DY81" s="13"/>
      <c r="DZ81" s="13"/>
      <c r="EA81" s="13"/>
      <c r="EB81" s="13"/>
      <c r="EC81" s="13"/>
    </row>
    <row r="82" spans="1:133" s="2" customFormat="1">
      <c r="A82" s="36"/>
      <c r="B82" s="38"/>
      <c r="C82" s="42"/>
      <c r="D82" s="43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CS82" s="13"/>
      <c r="CT82" s="13"/>
      <c r="CU82" s="13"/>
      <c r="CV82" s="13"/>
      <c r="CW82" s="13"/>
      <c r="CX82" s="13"/>
      <c r="CY82" s="13"/>
      <c r="CZ82" s="13"/>
      <c r="DA82" s="13"/>
      <c r="DB82" s="13"/>
      <c r="DC82" s="13"/>
      <c r="DD82" s="13"/>
      <c r="DE82" s="13"/>
      <c r="DF82" s="13"/>
      <c r="DG82" s="13"/>
      <c r="DH82" s="13"/>
      <c r="DI82" s="13"/>
      <c r="DJ82" s="13"/>
      <c r="DK82" s="13"/>
      <c r="DL82" s="13"/>
      <c r="DM82" s="13"/>
      <c r="DN82" s="13"/>
      <c r="DO82" s="13"/>
      <c r="DP82" s="13"/>
      <c r="DQ82" s="13"/>
      <c r="DR82" s="13"/>
      <c r="DS82" s="13"/>
      <c r="DT82" s="13"/>
      <c r="DU82" s="13"/>
      <c r="DV82" s="14"/>
      <c r="DW82" s="13"/>
      <c r="DX82" s="13"/>
      <c r="DY82" s="13"/>
      <c r="DZ82" s="13"/>
      <c r="EA82" s="13"/>
      <c r="EB82" s="13"/>
      <c r="EC82" s="13"/>
    </row>
    <row r="83" spans="1:133" s="2" customFormat="1">
      <c r="A83" s="36"/>
      <c r="B83" s="38"/>
      <c r="C83" s="42"/>
      <c r="D83" s="43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4"/>
      <c r="DW83" s="13"/>
      <c r="DX83" s="13"/>
      <c r="DY83" s="13"/>
      <c r="DZ83" s="13"/>
      <c r="EA83" s="13"/>
      <c r="EB83" s="13"/>
      <c r="EC83" s="13"/>
    </row>
    <row r="84" spans="1:133" s="2" customFormat="1">
      <c r="A84" s="36"/>
      <c r="B84" s="38"/>
      <c r="C84" s="42"/>
      <c r="D84" s="43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CS84" s="13"/>
      <c r="CT84" s="13"/>
      <c r="CU84" s="13"/>
      <c r="CV84" s="13"/>
      <c r="CW84" s="13"/>
      <c r="CX84" s="13"/>
      <c r="CY84" s="13"/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4"/>
      <c r="DW84" s="13"/>
      <c r="DX84" s="13"/>
      <c r="DY84" s="13"/>
      <c r="DZ84" s="13"/>
      <c r="EA84" s="13"/>
      <c r="EB84" s="13"/>
      <c r="EC84" s="13"/>
    </row>
    <row r="85" spans="1:133" s="2" customFormat="1">
      <c r="A85" s="36"/>
      <c r="B85" s="38"/>
      <c r="C85" s="42"/>
      <c r="D85" s="43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4"/>
      <c r="DW85" s="13"/>
      <c r="DX85" s="13"/>
      <c r="DY85" s="13"/>
      <c r="DZ85" s="13"/>
      <c r="EA85" s="13"/>
      <c r="EB85" s="13"/>
      <c r="EC85" s="13"/>
    </row>
    <row r="86" spans="1:133" s="2" customFormat="1">
      <c r="A86" s="36"/>
      <c r="B86" s="38"/>
      <c r="C86" s="42"/>
      <c r="D86" s="43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4"/>
      <c r="DW86" s="13"/>
      <c r="DX86" s="13"/>
      <c r="DY86" s="13"/>
      <c r="DZ86" s="13"/>
      <c r="EA86" s="13"/>
      <c r="EB86" s="13"/>
      <c r="EC86" s="13"/>
    </row>
    <row r="87" spans="1:133" s="2" customFormat="1">
      <c r="A87" s="36"/>
      <c r="B87" s="38"/>
      <c r="C87" s="42"/>
      <c r="D87" s="43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4"/>
      <c r="DW87" s="13"/>
      <c r="DX87" s="13"/>
      <c r="DY87" s="13"/>
      <c r="DZ87" s="13"/>
      <c r="EA87" s="13"/>
      <c r="EB87" s="13"/>
      <c r="EC87" s="13"/>
    </row>
    <row r="88" spans="1:133" s="2" customFormat="1">
      <c r="A88" s="36"/>
      <c r="B88" s="38"/>
      <c r="C88" s="42"/>
      <c r="D88" s="43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4"/>
      <c r="DW88" s="13"/>
      <c r="DX88" s="13"/>
      <c r="DY88" s="13"/>
      <c r="DZ88" s="13"/>
      <c r="EA88" s="13"/>
      <c r="EB88" s="13"/>
      <c r="EC88" s="13"/>
    </row>
    <row r="89" spans="1:133" s="2" customFormat="1">
      <c r="A89" s="36"/>
      <c r="B89" s="38"/>
      <c r="C89" s="42"/>
      <c r="D89" s="43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CS89" s="13"/>
      <c r="CT89" s="13"/>
      <c r="CU89" s="13"/>
      <c r="CV89" s="13"/>
      <c r="CW89" s="13"/>
      <c r="CX89" s="13"/>
      <c r="CY89" s="13"/>
      <c r="CZ89" s="13"/>
      <c r="DA89" s="13"/>
      <c r="DB89" s="13"/>
      <c r="DC89" s="13"/>
      <c r="DD89" s="13"/>
      <c r="DE89" s="13"/>
      <c r="DF89" s="13"/>
      <c r="DG89" s="13"/>
      <c r="DH89" s="13"/>
      <c r="DI89" s="13"/>
      <c r="DJ89" s="13"/>
      <c r="DK89" s="13"/>
      <c r="DL89" s="13"/>
      <c r="DM89" s="13"/>
      <c r="DN89" s="13"/>
      <c r="DO89" s="13"/>
      <c r="DP89" s="13"/>
      <c r="DQ89" s="13"/>
      <c r="DR89" s="13"/>
      <c r="DS89" s="13"/>
      <c r="DT89" s="13"/>
      <c r="DU89" s="13"/>
      <c r="DV89" s="14"/>
      <c r="DW89" s="13"/>
      <c r="DX89" s="13"/>
      <c r="DY89" s="13"/>
      <c r="DZ89" s="13"/>
      <c r="EA89" s="13"/>
      <c r="EB89" s="13"/>
      <c r="EC89" s="13"/>
    </row>
    <row r="90" spans="1:133" s="2" customFormat="1">
      <c r="A90" s="36"/>
      <c r="B90" s="38"/>
      <c r="C90" s="42"/>
      <c r="D90" s="43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CS90" s="13"/>
      <c r="CT90" s="13"/>
      <c r="CU90" s="13"/>
      <c r="CV90" s="13"/>
      <c r="CW90" s="13"/>
      <c r="CX90" s="13"/>
      <c r="CY90" s="13"/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4"/>
      <c r="DW90" s="13"/>
      <c r="DX90" s="13"/>
      <c r="DY90" s="13"/>
      <c r="DZ90" s="13"/>
      <c r="EA90" s="13"/>
      <c r="EB90" s="13"/>
      <c r="EC90" s="13"/>
    </row>
    <row r="91" spans="1:133" s="2" customFormat="1">
      <c r="A91" s="36"/>
      <c r="B91" s="38"/>
      <c r="C91" s="42"/>
      <c r="D91" s="43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CS91" s="13"/>
      <c r="CT91" s="13"/>
      <c r="CU91" s="13"/>
      <c r="CV91" s="13"/>
      <c r="CW91" s="13"/>
      <c r="CX91" s="13"/>
      <c r="CY91" s="13"/>
      <c r="CZ91" s="13"/>
      <c r="DA91" s="13"/>
      <c r="DB91" s="13"/>
      <c r="DC91" s="13"/>
      <c r="DD91" s="13"/>
      <c r="DE91" s="13"/>
      <c r="DF91" s="13"/>
      <c r="DG91" s="13"/>
      <c r="DH91" s="13"/>
      <c r="DI91" s="13"/>
      <c r="DJ91" s="13"/>
      <c r="DK91" s="13"/>
      <c r="DL91" s="13"/>
      <c r="DM91" s="13"/>
      <c r="DN91" s="13"/>
      <c r="DO91" s="13"/>
      <c r="DP91" s="13"/>
      <c r="DQ91" s="13"/>
      <c r="DR91" s="13"/>
      <c r="DS91" s="13"/>
      <c r="DT91" s="13"/>
      <c r="DU91" s="13"/>
      <c r="DV91" s="14"/>
      <c r="DW91" s="13"/>
      <c r="DX91" s="13"/>
      <c r="DY91" s="13"/>
      <c r="DZ91" s="13"/>
      <c r="EA91" s="13"/>
      <c r="EB91" s="13"/>
      <c r="EC91" s="13"/>
    </row>
    <row r="92" spans="1:133" s="2" customFormat="1">
      <c r="A92" s="36"/>
      <c r="B92" s="38"/>
      <c r="C92" s="42"/>
      <c r="D92" s="43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4"/>
      <c r="DW92" s="13"/>
      <c r="DX92" s="13"/>
      <c r="DY92" s="13"/>
      <c r="DZ92" s="13"/>
      <c r="EA92" s="13"/>
      <c r="EB92" s="13"/>
      <c r="EC92" s="13"/>
    </row>
    <row r="93" spans="1:133" s="2" customFormat="1">
      <c r="A93" s="36"/>
      <c r="B93" s="38"/>
      <c r="C93" s="42"/>
      <c r="D93" s="43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CS93" s="13"/>
      <c r="CT93" s="13"/>
      <c r="CU93" s="13"/>
      <c r="CV93" s="13"/>
      <c r="CW93" s="13"/>
      <c r="CX93" s="13"/>
      <c r="CY93" s="13"/>
      <c r="CZ93" s="13"/>
      <c r="DA93" s="13"/>
      <c r="DB93" s="13"/>
      <c r="DC93" s="13"/>
      <c r="DD93" s="13"/>
      <c r="DE93" s="13"/>
      <c r="DF93" s="13"/>
      <c r="DG93" s="13"/>
      <c r="DH93" s="13"/>
      <c r="DI93" s="13"/>
      <c r="DJ93" s="13"/>
      <c r="DK93" s="13"/>
      <c r="DL93" s="13"/>
      <c r="DM93" s="13"/>
      <c r="DN93" s="13"/>
      <c r="DO93" s="13"/>
      <c r="DP93" s="13"/>
      <c r="DQ93" s="13"/>
      <c r="DR93" s="13"/>
      <c r="DS93" s="13"/>
      <c r="DT93" s="13"/>
      <c r="DU93" s="13"/>
      <c r="DV93" s="14"/>
      <c r="DW93" s="13"/>
      <c r="DX93" s="13"/>
      <c r="DY93" s="13"/>
      <c r="DZ93" s="13"/>
      <c r="EA93" s="13"/>
      <c r="EB93" s="13"/>
      <c r="EC93" s="13"/>
    </row>
    <row r="94" spans="1:133" s="2" customFormat="1">
      <c r="A94" s="36"/>
      <c r="B94" s="38"/>
      <c r="C94" s="42"/>
      <c r="D94" s="43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CS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4"/>
      <c r="DW94" s="13"/>
      <c r="DX94" s="13"/>
      <c r="DY94" s="13"/>
      <c r="DZ94" s="13"/>
      <c r="EA94" s="13"/>
      <c r="EB94" s="13"/>
      <c r="EC94" s="13"/>
    </row>
    <row r="95" spans="1:133" s="2" customFormat="1">
      <c r="A95" s="36"/>
      <c r="B95" s="38"/>
      <c r="C95" s="42"/>
      <c r="D95" s="43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CS95" s="13"/>
      <c r="CT95" s="13"/>
      <c r="CU95" s="13"/>
      <c r="CV95" s="13"/>
      <c r="CW95" s="13"/>
      <c r="CX95" s="13"/>
      <c r="CY95" s="13"/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4"/>
      <c r="DW95" s="13"/>
      <c r="DX95" s="13"/>
      <c r="DY95" s="13"/>
      <c r="DZ95" s="13"/>
      <c r="EA95" s="13"/>
      <c r="EB95" s="13"/>
      <c r="EC95" s="13"/>
    </row>
    <row r="96" spans="1:133" s="2" customFormat="1">
      <c r="A96" s="36"/>
      <c r="B96" s="38"/>
      <c r="C96" s="42"/>
      <c r="D96" s="43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CS96" s="13"/>
      <c r="CT96" s="13"/>
      <c r="CU96" s="13"/>
      <c r="CV96" s="13"/>
      <c r="CW96" s="13"/>
      <c r="CX96" s="13"/>
      <c r="CY96" s="13"/>
      <c r="CZ96" s="13"/>
      <c r="DA96" s="13"/>
      <c r="DB96" s="13"/>
      <c r="DC96" s="13"/>
      <c r="DD96" s="13"/>
      <c r="DE96" s="13"/>
      <c r="DF96" s="13"/>
      <c r="DG96" s="13"/>
      <c r="DH96" s="13"/>
      <c r="DI96" s="13"/>
      <c r="DJ96" s="13"/>
      <c r="DK96" s="13"/>
      <c r="DL96" s="13"/>
      <c r="DM96" s="13"/>
      <c r="DN96" s="13"/>
      <c r="DO96" s="13"/>
      <c r="DP96" s="13"/>
      <c r="DQ96" s="13"/>
      <c r="DR96" s="13"/>
      <c r="DS96" s="13"/>
      <c r="DT96" s="13"/>
      <c r="DU96" s="13"/>
      <c r="DV96" s="14"/>
      <c r="DW96" s="13"/>
      <c r="DX96" s="13"/>
      <c r="DY96" s="13"/>
      <c r="DZ96" s="13"/>
      <c r="EA96" s="13"/>
      <c r="EB96" s="13"/>
      <c r="EC96" s="13"/>
    </row>
    <row r="97" spans="1:133" s="2" customFormat="1">
      <c r="A97" s="36"/>
      <c r="B97" s="38"/>
      <c r="C97" s="42"/>
      <c r="D97" s="43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4"/>
      <c r="DW97" s="13"/>
      <c r="DX97" s="13"/>
      <c r="DY97" s="13"/>
      <c r="DZ97" s="13"/>
      <c r="EA97" s="13"/>
      <c r="EB97" s="13"/>
      <c r="EC97" s="13"/>
    </row>
    <row r="98" spans="1:133" s="2" customFormat="1">
      <c r="A98" s="36"/>
      <c r="B98" s="38"/>
      <c r="C98" s="42"/>
      <c r="D98" s="43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CS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4"/>
      <c r="DW98" s="13"/>
      <c r="DX98" s="13"/>
      <c r="DY98" s="13"/>
      <c r="DZ98" s="13"/>
      <c r="EA98" s="13"/>
      <c r="EB98" s="13"/>
      <c r="EC98" s="13"/>
    </row>
    <row r="99" spans="1:133" s="2" customFormat="1">
      <c r="A99" s="36"/>
      <c r="B99" s="38"/>
      <c r="C99" s="42"/>
      <c r="D99" s="43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4"/>
      <c r="DW99" s="13"/>
      <c r="DX99" s="13"/>
      <c r="DY99" s="13"/>
      <c r="DZ99" s="13"/>
      <c r="EA99" s="13"/>
      <c r="EB99" s="13"/>
      <c r="EC99" s="13"/>
    </row>
    <row r="100" spans="1:133" s="2" customFormat="1">
      <c r="A100" s="36"/>
      <c r="B100" s="38"/>
      <c r="C100" s="42"/>
      <c r="D100" s="43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CS100" s="13"/>
      <c r="CT100" s="13"/>
      <c r="CU100" s="13"/>
      <c r="CV100" s="13"/>
      <c r="CW100" s="13"/>
      <c r="CX100" s="13"/>
      <c r="CY100" s="13"/>
      <c r="CZ100" s="13"/>
      <c r="DA100" s="13"/>
      <c r="DB100" s="13"/>
      <c r="DC100" s="13"/>
      <c r="DD100" s="13"/>
      <c r="DE100" s="13"/>
      <c r="DF100" s="13"/>
      <c r="DG100" s="13"/>
      <c r="DH100" s="13"/>
      <c r="DI100" s="13"/>
      <c r="DJ100" s="13"/>
      <c r="DK100" s="13"/>
      <c r="DL100" s="13"/>
      <c r="DM100" s="13"/>
      <c r="DN100" s="13"/>
      <c r="DO100" s="13"/>
      <c r="DP100" s="13"/>
      <c r="DQ100" s="13"/>
      <c r="DR100" s="13"/>
      <c r="DS100" s="13"/>
      <c r="DT100" s="13"/>
      <c r="DU100" s="13"/>
      <c r="DV100" s="14"/>
      <c r="DW100" s="13"/>
      <c r="DX100" s="13"/>
      <c r="DY100" s="13"/>
      <c r="DZ100" s="13"/>
      <c r="EA100" s="13"/>
      <c r="EB100" s="13"/>
      <c r="EC100" s="13"/>
    </row>
    <row r="101" spans="1:133" s="2" customFormat="1">
      <c r="A101" s="36"/>
      <c r="B101" s="38"/>
      <c r="C101" s="42"/>
      <c r="D101" s="43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CS101" s="13"/>
      <c r="CT101" s="13"/>
      <c r="CU101" s="13"/>
      <c r="CV101" s="13"/>
      <c r="CW101" s="13"/>
      <c r="CX101" s="13"/>
      <c r="CY101" s="13"/>
      <c r="CZ101" s="13"/>
      <c r="DA101" s="13"/>
      <c r="DB101" s="13"/>
      <c r="DC101" s="13"/>
      <c r="DD101" s="13"/>
      <c r="DE101" s="13"/>
      <c r="DF101" s="13"/>
      <c r="DG101" s="13"/>
      <c r="DH101" s="13"/>
      <c r="DI101" s="13"/>
      <c r="DJ101" s="13"/>
      <c r="DK101" s="13"/>
      <c r="DL101" s="13"/>
      <c r="DM101" s="13"/>
      <c r="DN101" s="13"/>
      <c r="DO101" s="13"/>
      <c r="DP101" s="13"/>
      <c r="DQ101" s="13"/>
      <c r="DR101" s="13"/>
      <c r="DS101" s="13"/>
      <c r="DT101" s="13"/>
      <c r="DU101" s="13"/>
      <c r="DV101" s="14"/>
      <c r="DW101" s="13"/>
      <c r="DX101" s="13"/>
      <c r="DY101" s="13"/>
      <c r="DZ101" s="13"/>
      <c r="EA101" s="13"/>
      <c r="EB101" s="13"/>
      <c r="EC101" s="13"/>
    </row>
    <row r="102" spans="1:133" s="2" customFormat="1">
      <c r="A102" s="36"/>
      <c r="B102" s="38"/>
      <c r="C102" s="42"/>
      <c r="D102" s="43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CS102" s="13"/>
      <c r="CT102" s="13"/>
      <c r="CU102" s="13"/>
      <c r="CV102" s="13"/>
      <c r="CW102" s="13"/>
      <c r="CX102" s="13"/>
      <c r="CY102" s="13"/>
      <c r="CZ102" s="13"/>
      <c r="DA102" s="13"/>
      <c r="DB102" s="13"/>
      <c r="DC102" s="13"/>
      <c r="DD102" s="13"/>
      <c r="DE102" s="13"/>
      <c r="DF102" s="13"/>
      <c r="DG102" s="13"/>
      <c r="DH102" s="13"/>
      <c r="DI102" s="13"/>
      <c r="DJ102" s="13"/>
      <c r="DK102" s="13"/>
      <c r="DL102" s="13"/>
      <c r="DM102" s="13"/>
      <c r="DN102" s="13"/>
      <c r="DO102" s="13"/>
      <c r="DP102" s="13"/>
      <c r="DQ102" s="13"/>
      <c r="DR102" s="13"/>
      <c r="DS102" s="13"/>
      <c r="DT102" s="13"/>
      <c r="DU102" s="13"/>
      <c r="DV102" s="14"/>
      <c r="DW102" s="13"/>
      <c r="DX102" s="13"/>
      <c r="DY102" s="13"/>
      <c r="DZ102" s="13"/>
      <c r="EA102" s="13"/>
      <c r="EB102" s="13"/>
      <c r="EC102" s="13"/>
    </row>
    <row r="103" spans="1:133" s="2" customFormat="1">
      <c r="A103" s="36"/>
      <c r="B103" s="38"/>
      <c r="C103" s="42"/>
      <c r="D103" s="43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4"/>
      <c r="DW103" s="13"/>
      <c r="DX103" s="13"/>
      <c r="DY103" s="13"/>
      <c r="DZ103" s="13"/>
      <c r="EA103" s="13"/>
      <c r="EB103" s="13"/>
      <c r="EC103" s="13"/>
    </row>
    <row r="104" spans="1:133" s="2" customFormat="1">
      <c r="A104" s="36"/>
      <c r="B104" s="38"/>
      <c r="C104" s="42"/>
      <c r="D104" s="43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CS104" s="13"/>
      <c r="CT104" s="13"/>
      <c r="CU104" s="13"/>
      <c r="CV104" s="13"/>
      <c r="CW104" s="13"/>
      <c r="CX104" s="13"/>
      <c r="CY104" s="13"/>
      <c r="CZ104" s="13"/>
      <c r="DA104" s="13"/>
      <c r="DB104" s="13"/>
      <c r="DC104" s="13"/>
      <c r="DD104" s="13"/>
      <c r="DE104" s="13"/>
      <c r="DF104" s="13"/>
      <c r="DG104" s="13"/>
      <c r="DH104" s="13"/>
      <c r="DI104" s="13"/>
      <c r="DJ104" s="13"/>
      <c r="DK104" s="13"/>
      <c r="DL104" s="13"/>
      <c r="DM104" s="13"/>
      <c r="DN104" s="13"/>
      <c r="DO104" s="13"/>
      <c r="DP104" s="13"/>
      <c r="DQ104" s="13"/>
      <c r="DR104" s="13"/>
      <c r="DS104" s="13"/>
      <c r="DT104" s="13"/>
      <c r="DU104" s="13"/>
      <c r="DV104" s="14"/>
      <c r="DW104" s="13"/>
      <c r="DX104" s="13"/>
      <c r="DY104" s="13"/>
      <c r="DZ104" s="13"/>
      <c r="EA104" s="13"/>
      <c r="EB104" s="13"/>
      <c r="EC104" s="13"/>
    </row>
    <row r="105" spans="1:133" s="2" customFormat="1">
      <c r="A105" s="36"/>
      <c r="B105" s="38"/>
      <c r="C105" s="42"/>
      <c r="D105" s="43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CS105" s="13"/>
      <c r="CT105" s="13"/>
      <c r="CU105" s="13"/>
      <c r="CV105" s="13"/>
      <c r="CW105" s="13"/>
      <c r="CX105" s="13"/>
      <c r="CY105" s="13"/>
      <c r="CZ105" s="13"/>
      <c r="DA105" s="13"/>
      <c r="DB105" s="13"/>
      <c r="DC105" s="13"/>
      <c r="DD105" s="13"/>
      <c r="DE105" s="13"/>
      <c r="DF105" s="13"/>
      <c r="DG105" s="13"/>
      <c r="DH105" s="13"/>
      <c r="DI105" s="13"/>
      <c r="DJ105" s="13"/>
      <c r="DK105" s="13"/>
      <c r="DL105" s="13"/>
      <c r="DM105" s="13"/>
      <c r="DN105" s="13"/>
      <c r="DO105" s="13"/>
      <c r="DP105" s="13"/>
      <c r="DQ105" s="13"/>
      <c r="DR105" s="13"/>
      <c r="DS105" s="13"/>
      <c r="DT105" s="13"/>
      <c r="DU105" s="13"/>
      <c r="DV105" s="14"/>
      <c r="DW105" s="13"/>
      <c r="DX105" s="13"/>
      <c r="DY105" s="13"/>
      <c r="DZ105" s="13"/>
      <c r="EA105" s="13"/>
      <c r="EB105" s="13"/>
      <c r="EC105" s="13"/>
    </row>
    <row r="106" spans="1:133" s="2" customFormat="1">
      <c r="A106" s="36"/>
      <c r="B106" s="38"/>
      <c r="C106" s="42"/>
      <c r="D106" s="43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4"/>
      <c r="DW106" s="13"/>
      <c r="DX106" s="13"/>
      <c r="DY106" s="13"/>
      <c r="DZ106" s="13"/>
      <c r="EA106" s="13"/>
      <c r="EB106" s="13"/>
      <c r="EC106" s="13"/>
    </row>
    <row r="107" spans="1:133" s="2" customFormat="1">
      <c r="A107" s="36"/>
      <c r="B107" s="38"/>
      <c r="C107" s="42"/>
      <c r="D107" s="43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CS107" s="13"/>
      <c r="CT107" s="13"/>
      <c r="CU107" s="13"/>
      <c r="CV107" s="13"/>
      <c r="CW107" s="13"/>
      <c r="CX107" s="13"/>
      <c r="CY107" s="13"/>
      <c r="CZ107" s="13"/>
      <c r="DA107" s="13"/>
      <c r="DB107" s="13"/>
      <c r="DC107" s="13"/>
      <c r="DD107" s="13"/>
      <c r="DE107" s="13"/>
      <c r="DF107" s="13"/>
      <c r="DG107" s="13"/>
      <c r="DH107" s="13"/>
      <c r="DI107" s="13"/>
      <c r="DJ107" s="13"/>
      <c r="DK107" s="13"/>
      <c r="DL107" s="13"/>
      <c r="DM107" s="13"/>
      <c r="DN107" s="13"/>
      <c r="DO107" s="13"/>
      <c r="DP107" s="13"/>
      <c r="DQ107" s="13"/>
      <c r="DR107" s="13"/>
      <c r="DS107" s="13"/>
      <c r="DT107" s="13"/>
      <c r="DU107" s="13"/>
      <c r="DV107" s="14"/>
      <c r="DW107" s="13"/>
      <c r="DX107" s="13"/>
      <c r="DY107" s="13"/>
      <c r="DZ107" s="13"/>
      <c r="EA107" s="13"/>
      <c r="EB107" s="13"/>
      <c r="EC107" s="13"/>
    </row>
    <row r="108" spans="1:133" s="2" customFormat="1">
      <c r="A108" s="36"/>
      <c r="B108" s="38"/>
      <c r="C108" s="42"/>
      <c r="D108" s="43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CS108" s="13"/>
      <c r="CT108" s="13"/>
      <c r="CU108" s="13"/>
      <c r="CV108" s="13"/>
      <c r="CW108" s="13"/>
      <c r="CX108" s="13"/>
      <c r="CY108" s="13"/>
      <c r="CZ108" s="13"/>
      <c r="DA108" s="13"/>
      <c r="DB108" s="13"/>
      <c r="DC108" s="13"/>
      <c r="DD108" s="13"/>
      <c r="DE108" s="13"/>
      <c r="DF108" s="13"/>
      <c r="DG108" s="13"/>
      <c r="DH108" s="13"/>
      <c r="DI108" s="13"/>
      <c r="DJ108" s="13"/>
      <c r="DK108" s="13"/>
      <c r="DL108" s="13"/>
      <c r="DM108" s="13"/>
      <c r="DN108" s="13"/>
      <c r="DO108" s="13"/>
      <c r="DP108" s="13"/>
      <c r="DQ108" s="13"/>
      <c r="DR108" s="13"/>
      <c r="DS108" s="13"/>
      <c r="DT108" s="13"/>
      <c r="DU108" s="13"/>
      <c r="DV108" s="14"/>
      <c r="DW108" s="13"/>
      <c r="DX108" s="13"/>
      <c r="DY108" s="13"/>
      <c r="DZ108" s="13"/>
      <c r="EA108" s="13"/>
      <c r="EB108" s="13"/>
      <c r="EC108" s="13"/>
    </row>
    <row r="109" spans="1:133" s="2" customFormat="1">
      <c r="A109" s="36"/>
      <c r="B109" s="38"/>
      <c r="C109" s="42"/>
      <c r="D109" s="43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CS109" s="13"/>
      <c r="CT109" s="13"/>
      <c r="CU109" s="13"/>
      <c r="CV109" s="13"/>
      <c r="CW109" s="13"/>
      <c r="CX109" s="13"/>
      <c r="CY109" s="13"/>
      <c r="CZ109" s="13"/>
      <c r="DA109" s="13"/>
      <c r="DB109" s="13"/>
      <c r="DC109" s="13"/>
      <c r="DD109" s="13"/>
      <c r="DE109" s="13"/>
      <c r="DF109" s="13"/>
      <c r="DG109" s="13"/>
      <c r="DH109" s="13"/>
      <c r="DI109" s="13"/>
      <c r="DJ109" s="13"/>
      <c r="DK109" s="13"/>
      <c r="DL109" s="13"/>
      <c r="DM109" s="13"/>
      <c r="DN109" s="13"/>
      <c r="DO109" s="13"/>
      <c r="DP109" s="13"/>
      <c r="DQ109" s="13"/>
      <c r="DR109" s="13"/>
      <c r="DS109" s="13"/>
      <c r="DT109" s="13"/>
      <c r="DU109" s="13"/>
      <c r="DV109" s="14"/>
      <c r="DW109" s="13"/>
      <c r="DX109" s="13"/>
      <c r="DY109" s="13"/>
      <c r="DZ109" s="13"/>
      <c r="EA109" s="13"/>
      <c r="EB109" s="13"/>
      <c r="EC109" s="13"/>
    </row>
    <row r="110" spans="1:133" s="2" customFormat="1">
      <c r="A110" s="36"/>
      <c r="B110" s="38"/>
      <c r="C110" s="42"/>
      <c r="D110" s="43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CS110" s="13"/>
      <c r="CT110" s="13"/>
      <c r="CU110" s="13"/>
      <c r="CV110" s="13"/>
      <c r="CW110" s="13"/>
      <c r="CX110" s="13"/>
      <c r="CY110" s="13"/>
      <c r="CZ110" s="13"/>
      <c r="DA110" s="13"/>
      <c r="DB110" s="13"/>
      <c r="DC110" s="13"/>
      <c r="DD110" s="13"/>
      <c r="DE110" s="13"/>
      <c r="DF110" s="13"/>
      <c r="DG110" s="13"/>
      <c r="DH110" s="13"/>
      <c r="DI110" s="13"/>
      <c r="DJ110" s="13"/>
      <c r="DK110" s="13"/>
      <c r="DL110" s="13"/>
      <c r="DM110" s="13"/>
      <c r="DN110" s="13"/>
      <c r="DO110" s="13"/>
      <c r="DP110" s="13"/>
      <c r="DQ110" s="13"/>
      <c r="DR110" s="13"/>
      <c r="DS110" s="13"/>
      <c r="DT110" s="13"/>
      <c r="DU110" s="13"/>
      <c r="DV110" s="14"/>
      <c r="DW110" s="13"/>
      <c r="DX110" s="13"/>
      <c r="DY110" s="13"/>
      <c r="DZ110" s="13"/>
      <c r="EA110" s="13"/>
      <c r="EB110" s="13"/>
      <c r="EC110" s="13"/>
    </row>
    <row r="111" spans="1:133" s="2" customFormat="1">
      <c r="A111" s="36"/>
      <c r="B111" s="44"/>
      <c r="C111" s="529" t="s">
        <v>23</v>
      </c>
      <c r="D111" s="530"/>
      <c r="E111" s="490" t="s">
        <v>33</v>
      </c>
      <c r="F111" s="491"/>
      <c r="G111" s="36"/>
      <c r="H111" s="36"/>
      <c r="I111" s="36"/>
      <c r="J111" s="45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4"/>
      <c r="DV111" s="13"/>
      <c r="DW111" s="13"/>
      <c r="DX111" s="13"/>
      <c r="DY111" s="13"/>
      <c r="DZ111" s="13"/>
      <c r="EA111" s="13"/>
      <c r="EB111" s="13"/>
    </row>
    <row r="112" spans="1:133" s="2" customFormat="1">
      <c r="A112" s="36"/>
      <c r="B112" s="46"/>
      <c r="C112" s="47"/>
      <c r="D112" s="48"/>
      <c r="E112" s="49"/>
      <c r="F112" s="50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4"/>
      <c r="DV112" s="13"/>
      <c r="DW112" s="13"/>
      <c r="DX112" s="13"/>
      <c r="DY112" s="13"/>
      <c r="DZ112" s="13"/>
      <c r="EA112" s="13"/>
      <c r="EB112" s="13"/>
    </row>
    <row r="113" spans="1:132" s="2" customFormat="1">
      <c r="A113" s="36"/>
      <c r="B113" s="51" t="s">
        <v>58</v>
      </c>
      <c r="C113" s="529" t="str">
        <f>IF(AK184&lt;0,"",AH184)</f>
        <v/>
      </c>
      <c r="D113" s="530"/>
      <c r="E113" s="52" t="str">
        <f>IF(AK184&lt;0,"",INT(ABS(AK184)))</f>
        <v/>
      </c>
      <c r="F113" s="53" t="str">
        <f t="shared" ref="F113:F144" si="0">IF(AK184&lt;0,"",(AK184-E113)*60)</f>
        <v/>
      </c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  <c r="DB113" s="13"/>
      <c r="DC113" s="13"/>
      <c r="DD113" s="13"/>
      <c r="DE113" s="13"/>
      <c r="DF113" s="13"/>
      <c r="DG113" s="13"/>
      <c r="DH113" s="13"/>
      <c r="DI113" s="13"/>
      <c r="DJ113" s="13"/>
      <c r="DK113" s="13"/>
      <c r="DL113" s="13"/>
      <c r="DM113" s="13"/>
      <c r="DN113" s="13"/>
      <c r="DO113" s="13"/>
      <c r="DP113" s="13"/>
      <c r="DQ113" s="13"/>
      <c r="DR113" s="13"/>
      <c r="DS113" s="13"/>
      <c r="DT113" s="13"/>
      <c r="DU113" s="14"/>
      <c r="DV113" s="13"/>
      <c r="DW113" s="13"/>
      <c r="DX113" s="13"/>
      <c r="DY113" s="13"/>
      <c r="DZ113" s="13"/>
      <c r="EA113" s="13"/>
      <c r="EB113" s="13"/>
    </row>
    <row r="114" spans="1:132" s="2" customFormat="1">
      <c r="A114" s="36"/>
      <c r="B114" s="54" t="s">
        <v>247</v>
      </c>
      <c r="C114" s="486" t="str">
        <f t="shared" ref="C114:C175" si="1">IF(AK185&lt;0,"",AH185)</f>
        <v/>
      </c>
      <c r="D114" s="487"/>
      <c r="E114" s="52" t="str">
        <f t="shared" ref="E114:E175" si="2">IF(AK185&lt;0,"",INT(ABS(AK185)))</f>
        <v/>
      </c>
      <c r="F114" s="53" t="str">
        <f t="shared" si="0"/>
        <v/>
      </c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CR114" s="13"/>
      <c r="CS114" s="13"/>
      <c r="CT114" s="13"/>
      <c r="CU114" s="13"/>
      <c r="CV114" s="13"/>
      <c r="CW114" s="13"/>
      <c r="CX114" s="13"/>
      <c r="CY114" s="13"/>
      <c r="CZ114" s="13"/>
      <c r="DA114" s="13"/>
      <c r="DB114" s="13"/>
      <c r="DC114" s="13"/>
      <c r="DD114" s="13"/>
      <c r="DE114" s="13"/>
      <c r="DF114" s="13"/>
      <c r="DG114" s="13"/>
      <c r="DH114" s="13"/>
      <c r="DI114" s="13"/>
      <c r="DJ114" s="13"/>
      <c r="DK114" s="13"/>
      <c r="DL114" s="13"/>
      <c r="DM114" s="13"/>
      <c r="DN114" s="13"/>
      <c r="DO114" s="13"/>
      <c r="DP114" s="13"/>
      <c r="DQ114" s="13"/>
      <c r="DR114" s="13"/>
      <c r="DS114" s="13"/>
      <c r="DT114" s="13"/>
      <c r="DU114" s="14"/>
      <c r="DV114" s="13"/>
      <c r="DW114" s="13"/>
      <c r="DX114" s="13"/>
      <c r="DY114" s="13"/>
      <c r="DZ114" s="13"/>
      <c r="EA114" s="13"/>
      <c r="EB114" s="13"/>
    </row>
    <row r="115" spans="1:132" s="2" customFormat="1">
      <c r="A115" s="36"/>
      <c r="B115" s="54" t="s">
        <v>152</v>
      </c>
      <c r="C115" s="486" t="str">
        <f t="shared" si="1"/>
        <v/>
      </c>
      <c r="D115" s="487"/>
      <c r="E115" s="52" t="str">
        <f t="shared" si="2"/>
        <v/>
      </c>
      <c r="F115" s="53" t="str">
        <f t="shared" si="0"/>
        <v/>
      </c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CR115" s="13"/>
      <c r="CS115" s="13"/>
      <c r="CT115" s="13"/>
      <c r="CU115" s="13"/>
      <c r="CV115" s="13"/>
      <c r="CW115" s="13"/>
      <c r="CX115" s="13"/>
      <c r="CY115" s="13"/>
      <c r="CZ115" s="13"/>
      <c r="DA115" s="13"/>
      <c r="DB115" s="13"/>
      <c r="DC115" s="13"/>
      <c r="DD115" s="13"/>
      <c r="DE115" s="13"/>
      <c r="DF115" s="13"/>
      <c r="DG115" s="13"/>
      <c r="DH115" s="13"/>
      <c r="DI115" s="13"/>
      <c r="DJ115" s="13"/>
      <c r="DK115" s="13"/>
      <c r="DL115" s="13"/>
      <c r="DM115" s="13"/>
      <c r="DN115" s="13"/>
      <c r="DO115" s="13"/>
      <c r="DP115" s="13"/>
      <c r="DQ115" s="13"/>
      <c r="DR115" s="13"/>
      <c r="DS115" s="13"/>
      <c r="DT115" s="13"/>
      <c r="DU115" s="14"/>
      <c r="DV115" s="13"/>
      <c r="DW115" s="13"/>
      <c r="DX115" s="13"/>
      <c r="DY115" s="13"/>
      <c r="DZ115" s="13"/>
      <c r="EA115" s="13"/>
      <c r="EB115" s="13"/>
    </row>
    <row r="116" spans="1:132" s="2" customFormat="1">
      <c r="A116" s="36"/>
      <c r="B116" s="54" t="s">
        <v>153</v>
      </c>
      <c r="C116" s="486" t="str">
        <f t="shared" si="1"/>
        <v/>
      </c>
      <c r="D116" s="487"/>
      <c r="E116" s="52" t="str">
        <f t="shared" si="2"/>
        <v/>
      </c>
      <c r="F116" s="53" t="str">
        <f t="shared" si="0"/>
        <v/>
      </c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4"/>
      <c r="DV116" s="13"/>
      <c r="DW116" s="13"/>
      <c r="DX116" s="13"/>
      <c r="DY116" s="13"/>
      <c r="DZ116" s="13"/>
      <c r="EA116" s="13"/>
      <c r="EB116" s="13"/>
    </row>
    <row r="117" spans="1:132" s="2" customFormat="1">
      <c r="A117" s="36"/>
      <c r="B117" s="55" t="s">
        <v>154</v>
      </c>
      <c r="C117" s="486" t="str">
        <f t="shared" si="1"/>
        <v/>
      </c>
      <c r="D117" s="487"/>
      <c r="E117" s="52" t="str">
        <f t="shared" si="2"/>
        <v/>
      </c>
      <c r="F117" s="53" t="str">
        <f t="shared" si="0"/>
        <v/>
      </c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CR117" s="13"/>
      <c r="CS117" s="13"/>
      <c r="CT117" s="13"/>
      <c r="CU117" s="13"/>
      <c r="CV117" s="13"/>
      <c r="CW117" s="13"/>
      <c r="CX117" s="13"/>
      <c r="CY117" s="13"/>
      <c r="CZ117" s="13"/>
      <c r="DA117" s="13"/>
      <c r="DB117" s="13"/>
      <c r="DC117" s="13"/>
      <c r="DD117" s="13"/>
      <c r="DE117" s="13"/>
      <c r="DF117" s="13"/>
      <c r="DG117" s="13"/>
      <c r="DH117" s="13"/>
      <c r="DI117" s="13"/>
      <c r="DJ117" s="13"/>
      <c r="DK117" s="13"/>
      <c r="DL117" s="13"/>
      <c r="DM117" s="13"/>
      <c r="DN117" s="13"/>
      <c r="DO117" s="13"/>
      <c r="DP117" s="13"/>
      <c r="DQ117" s="13"/>
      <c r="DR117" s="13"/>
      <c r="DS117" s="13"/>
      <c r="DT117" s="13"/>
      <c r="DU117" s="14"/>
      <c r="DV117" s="13"/>
      <c r="DW117" s="13"/>
      <c r="DX117" s="13"/>
      <c r="DY117" s="13"/>
      <c r="DZ117" s="13"/>
      <c r="EA117" s="13"/>
      <c r="EB117" s="13"/>
    </row>
    <row r="118" spans="1:132" s="2" customFormat="1">
      <c r="A118" s="36"/>
      <c r="B118" s="55" t="s">
        <v>155</v>
      </c>
      <c r="C118" s="486" t="str">
        <f t="shared" si="1"/>
        <v/>
      </c>
      <c r="D118" s="487"/>
      <c r="E118" s="52" t="str">
        <f t="shared" si="2"/>
        <v/>
      </c>
      <c r="F118" s="53" t="str">
        <f t="shared" si="0"/>
        <v/>
      </c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CR118" s="13"/>
      <c r="CS118" s="13"/>
      <c r="CT118" s="13"/>
      <c r="CU118" s="13"/>
      <c r="CV118" s="13"/>
      <c r="CW118" s="13"/>
      <c r="CX118" s="13"/>
      <c r="CY118" s="13"/>
      <c r="CZ118" s="13"/>
      <c r="DA118" s="13"/>
      <c r="DB118" s="13"/>
      <c r="DC118" s="13"/>
      <c r="DD118" s="13"/>
      <c r="DE118" s="13"/>
      <c r="DF118" s="13"/>
      <c r="DG118" s="13"/>
      <c r="DH118" s="13"/>
      <c r="DI118" s="13"/>
      <c r="DJ118" s="13"/>
      <c r="DK118" s="13"/>
      <c r="DL118" s="13"/>
      <c r="DM118" s="13"/>
      <c r="DN118" s="13"/>
      <c r="DO118" s="13"/>
      <c r="DP118" s="13"/>
      <c r="DQ118" s="13"/>
      <c r="DR118" s="13"/>
      <c r="DS118" s="13"/>
      <c r="DT118" s="13"/>
      <c r="DU118" s="14"/>
      <c r="DV118" s="13"/>
      <c r="DW118" s="13"/>
      <c r="DX118" s="13"/>
      <c r="DY118" s="13"/>
      <c r="DZ118" s="13"/>
      <c r="EA118" s="13"/>
      <c r="EB118" s="13"/>
    </row>
    <row r="119" spans="1:132" s="2" customFormat="1">
      <c r="A119" s="36"/>
      <c r="B119" s="55" t="s">
        <v>156</v>
      </c>
      <c r="C119" s="486" t="str">
        <f t="shared" si="1"/>
        <v/>
      </c>
      <c r="D119" s="487"/>
      <c r="E119" s="52" t="str">
        <f t="shared" si="2"/>
        <v/>
      </c>
      <c r="F119" s="53" t="str">
        <f t="shared" si="0"/>
        <v/>
      </c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CR119" s="13"/>
      <c r="CS119" s="13"/>
      <c r="CT119" s="13"/>
      <c r="CU119" s="13"/>
      <c r="CV119" s="13"/>
      <c r="CW119" s="13"/>
      <c r="CX119" s="13"/>
      <c r="CY119" s="13"/>
      <c r="CZ119" s="13"/>
      <c r="DA119" s="13"/>
      <c r="DB119" s="13"/>
      <c r="DC119" s="13"/>
      <c r="DD119" s="13"/>
      <c r="DE119" s="13"/>
      <c r="DF119" s="13"/>
      <c r="DG119" s="13"/>
      <c r="DH119" s="13"/>
      <c r="DI119" s="13"/>
      <c r="DJ119" s="13"/>
      <c r="DK119" s="13"/>
      <c r="DL119" s="13"/>
      <c r="DM119" s="13"/>
      <c r="DN119" s="13"/>
      <c r="DO119" s="13"/>
      <c r="DP119" s="13"/>
      <c r="DQ119" s="13"/>
      <c r="DR119" s="13"/>
      <c r="DS119" s="13"/>
      <c r="DT119" s="13"/>
      <c r="DU119" s="14"/>
      <c r="DV119" s="13"/>
      <c r="DW119" s="13"/>
      <c r="DX119" s="13"/>
      <c r="DY119" s="13"/>
      <c r="DZ119" s="13"/>
      <c r="EA119" s="13"/>
      <c r="EB119" s="13"/>
    </row>
    <row r="120" spans="1:132" s="2" customFormat="1">
      <c r="A120" s="36"/>
      <c r="B120" s="55" t="s">
        <v>157</v>
      </c>
      <c r="C120" s="486">
        <f t="shared" si="1"/>
        <v>316.03797409491278</v>
      </c>
      <c r="D120" s="487"/>
      <c r="E120" s="52">
        <f t="shared" si="2"/>
        <v>39</v>
      </c>
      <c r="F120" s="53">
        <f t="shared" si="0"/>
        <v>39.987813422048077</v>
      </c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CR120" s="13"/>
      <c r="CS120" s="13"/>
      <c r="CT120" s="13"/>
      <c r="CU120" s="13"/>
      <c r="CV120" s="13"/>
      <c r="CW120" s="13"/>
      <c r="CX120" s="13"/>
      <c r="CY120" s="13"/>
      <c r="CZ120" s="13"/>
      <c r="DA120" s="13"/>
      <c r="DB120" s="13"/>
      <c r="DC120" s="13"/>
      <c r="DD120" s="13"/>
      <c r="DE120" s="13"/>
      <c r="DF120" s="13"/>
      <c r="DG120" s="13"/>
      <c r="DH120" s="13"/>
      <c r="DI120" s="13"/>
      <c r="DJ120" s="13"/>
      <c r="DK120" s="13"/>
      <c r="DL120" s="13"/>
      <c r="DM120" s="13"/>
      <c r="DN120" s="13"/>
      <c r="DO120" s="13"/>
      <c r="DP120" s="13"/>
      <c r="DQ120" s="13"/>
      <c r="DR120" s="13"/>
      <c r="DS120" s="13"/>
      <c r="DT120" s="13"/>
      <c r="DU120" s="14"/>
      <c r="DV120" s="13"/>
      <c r="DW120" s="13"/>
      <c r="DX120" s="13"/>
      <c r="DY120" s="13"/>
      <c r="DZ120" s="13"/>
      <c r="EA120" s="13"/>
      <c r="EB120" s="13"/>
    </row>
    <row r="121" spans="1:132" s="2" customFormat="1">
      <c r="A121" s="36"/>
      <c r="B121" s="55" t="s">
        <v>158</v>
      </c>
      <c r="C121" s="486">
        <f t="shared" si="1"/>
        <v>305.43788862948458</v>
      </c>
      <c r="D121" s="487"/>
      <c r="E121" s="52">
        <f t="shared" si="2"/>
        <v>46</v>
      </c>
      <c r="F121" s="53">
        <f t="shared" si="0"/>
        <v>45.513845372787642</v>
      </c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  <c r="DB121" s="13"/>
      <c r="DC121" s="13"/>
      <c r="DD121" s="13"/>
      <c r="DE121" s="13"/>
      <c r="DF121" s="13"/>
      <c r="DG121" s="13"/>
      <c r="DH121" s="13"/>
      <c r="DI121" s="13"/>
      <c r="DJ121" s="13"/>
      <c r="DK121" s="13"/>
      <c r="DL121" s="13"/>
      <c r="DM121" s="13"/>
      <c r="DN121" s="13"/>
      <c r="DO121" s="13"/>
      <c r="DP121" s="13"/>
      <c r="DQ121" s="13"/>
      <c r="DR121" s="13"/>
      <c r="DS121" s="13"/>
      <c r="DT121" s="13"/>
      <c r="DU121" s="14"/>
      <c r="DV121" s="13"/>
      <c r="DW121" s="13"/>
      <c r="DX121" s="13"/>
      <c r="DY121" s="13"/>
      <c r="DZ121" s="13"/>
      <c r="EA121" s="13"/>
      <c r="EB121" s="13"/>
    </row>
    <row r="122" spans="1:132" s="2" customFormat="1">
      <c r="A122" s="36"/>
      <c r="B122" s="55" t="s">
        <v>207</v>
      </c>
      <c r="C122" s="486" t="str">
        <f t="shared" si="1"/>
        <v/>
      </c>
      <c r="D122" s="487"/>
      <c r="E122" s="52" t="str">
        <f t="shared" si="2"/>
        <v/>
      </c>
      <c r="F122" s="53" t="str">
        <f t="shared" si="0"/>
        <v/>
      </c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CR122" s="13"/>
      <c r="CS122" s="13"/>
      <c r="CT122" s="13"/>
      <c r="CU122" s="13"/>
      <c r="CV122" s="13"/>
      <c r="CW122" s="13"/>
      <c r="CX122" s="13"/>
      <c r="CY122" s="13"/>
      <c r="CZ122" s="13"/>
      <c r="DA122" s="13"/>
      <c r="DB122" s="13"/>
      <c r="DC122" s="13"/>
      <c r="DD122" s="13"/>
      <c r="DE122" s="13"/>
      <c r="DF122" s="13"/>
      <c r="DG122" s="13"/>
      <c r="DH122" s="13"/>
      <c r="DI122" s="13"/>
      <c r="DJ122" s="13"/>
      <c r="DK122" s="13"/>
      <c r="DL122" s="13"/>
      <c r="DM122" s="13"/>
      <c r="DN122" s="13"/>
      <c r="DO122" s="13"/>
      <c r="DP122" s="13"/>
      <c r="DQ122" s="13"/>
      <c r="DR122" s="13"/>
      <c r="DS122" s="13"/>
      <c r="DT122" s="13"/>
      <c r="DU122" s="14"/>
      <c r="DV122" s="13"/>
      <c r="DW122" s="13"/>
      <c r="DX122" s="13"/>
      <c r="DY122" s="13"/>
      <c r="DZ122" s="13"/>
      <c r="EA122" s="13"/>
      <c r="EB122" s="13"/>
    </row>
    <row r="123" spans="1:132" s="2" customFormat="1">
      <c r="A123" s="36"/>
      <c r="B123" s="55" t="s">
        <v>159</v>
      </c>
      <c r="C123" s="486" t="str">
        <f t="shared" si="1"/>
        <v/>
      </c>
      <c r="D123" s="487"/>
      <c r="E123" s="52" t="str">
        <f t="shared" si="2"/>
        <v/>
      </c>
      <c r="F123" s="53" t="str">
        <f t="shared" si="0"/>
        <v/>
      </c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CR123" s="13"/>
      <c r="CS123" s="13"/>
      <c r="CT123" s="13"/>
      <c r="CU123" s="13"/>
      <c r="CV123" s="13"/>
      <c r="CW123" s="13"/>
      <c r="CX123" s="13"/>
      <c r="CY123" s="13"/>
      <c r="CZ123" s="13"/>
      <c r="DA123" s="13"/>
      <c r="DB123" s="13"/>
      <c r="DC123" s="13"/>
      <c r="DD123" s="13"/>
      <c r="DE123" s="13"/>
      <c r="DF123" s="13"/>
      <c r="DG123" s="13"/>
      <c r="DH123" s="13"/>
      <c r="DI123" s="13"/>
      <c r="DJ123" s="13"/>
      <c r="DK123" s="13"/>
      <c r="DL123" s="13"/>
      <c r="DM123" s="13"/>
      <c r="DN123" s="13"/>
      <c r="DO123" s="13"/>
      <c r="DP123" s="13"/>
      <c r="DQ123" s="13"/>
      <c r="DR123" s="13"/>
      <c r="DS123" s="13"/>
      <c r="DT123" s="13"/>
      <c r="DU123" s="14"/>
      <c r="DV123" s="13"/>
      <c r="DW123" s="13"/>
      <c r="DX123" s="13"/>
      <c r="DY123" s="13"/>
      <c r="DZ123" s="13"/>
      <c r="EA123" s="13"/>
      <c r="EB123" s="13"/>
    </row>
    <row r="124" spans="1:132" s="2" customFormat="1">
      <c r="A124" s="36"/>
      <c r="B124" s="55" t="s">
        <v>160</v>
      </c>
      <c r="C124" s="486" t="str">
        <f t="shared" si="1"/>
        <v/>
      </c>
      <c r="D124" s="487"/>
      <c r="E124" s="52" t="str">
        <f t="shared" si="2"/>
        <v/>
      </c>
      <c r="F124" s="53" t="str">
        <f t="shared" si="0"/>
        <v/>
      </c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CR124" s="13"/>
      <c r="CS124" s="13"/>
      <c r="CT124" s="13"/>
      <c r="CU124" s="13"/>
      <c r="CV124" s="13"/>
      <c r="CW124" s="13"/>
      <c r="CX124" s="13"/>
      <c r="CY124" s="13"/>
      <c r="CZ124" s="13"/>
      <c r="DA124" s="13"/>
      <c r="DB124" s="13"/>
      <c r="DC124" s="13"/>
      <c r="DD124" s="13"/>
      <c r="DE124" s="13"/>
      <c r="DF124" s="13"/>
      <c r="DG124" s="13"/>
      <c r="DH124" s="13"/>
      <c r="DI124" s="13"/>
      <c r="DJ124" s="13"/>
      <c r="DK124" s="13"/>
      <c r="DL124" s="13"/>
      <c r="DM124" s="13"/>
      <c r="DN124" s="13"/>
      <c r="DO124" s="13"/>
      <c r="DP124" s="13"/>
      <c r="DQ124" s="13"/>
      <c r="DR124" s="13"/>
      <c r="DS124" s="13"/>
      <c r="DT124" s="13"/>
      <c r="DU124" s="14"/>
      <c r="DV124" s="13"/>
      <c r="DW124" s="13"/>
      <c r="DX124" s="13"/>
      <c r="DY124" s="13"/>
      <c r="DZ124" s="13"/>
      <c r="EA124" s="13"/>
      <c r="EB124" s="13"/>
    </row>
    <row r="125" spans="1:132" s="2" customFormat="1">
      <c r="A125" s="36"/>
      <c r="B125" s="55" t="s">
        <v>161</v>
      </c>
      <c r="C125" s="486">
        <f t="shared" si="1"/>
        <v>257.82077220297839</v>
      </c>
      <c r="D125" s="487"/>
      <c r="E125" s="52">
        <f t="shared" si="2"/>
        <v>61</v>
      </c>
      <c r="F125" s="53">
        <f t="shared" si="0"/>
        <v>7.2319190178099291</v>
      </c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CR125" s="13"/>
      <c r="CS125" s="13"/>
      <c r="CT125" s="13"/>
      <c r="CU125" s="13"/>
      <c r="CV125" s="13"/>
      <c r="CW125" s="13"/>
      <c r="CX125" s="13"/>
      <c r="CY125" s="13"/>
      <c r="CZ125" s="13"/>
      <c r="DA125" s="13"/>
      <c r="DB125" s="13"/>
      <c r="DC125" s="13"/>
      <c r="DD125" s="13"/>
      <c r="DE125" s="13"/>
      <c r="DF125" s="13"/>
      <c r="DG125" s="13"/>
      <c r="DH125" s="13"/>
      <c r="DI125" s="13"/>
      <c r="DJ125" s="13"/>
      <c r="DK125" s="13"/>
      <c r="DL125" s="13"/>
      <c r="DM125" s="13"/>
      <c r="DN125" s="13"/>
      <c r="DO125" s="13"/>
      <c r="DP125" s="13"/>
      <c r="DQ125" s="13"/>
      <c r="DR125" s="13"/>
      <c r="DS125" s="13"/>
      <c r="DT125" s="13"/>
      <c r="DU125" s="14"/>
      <c r="DV125" s="13"/>
      <c r="DW125" s="13"/>
      <c r="DX125" s="13"/>
      <c r="DY125" s="13"/>
      <c r="DZ125" s="13"/>
      <c r="EA125" s="13"/>
      <c r="EB125" s="13"/>
    </row>
    <row r="126" spans="1:132" s="2" customFormat="1">
      <c r="A126" s="36"/>
      <c r="B126" s="55" t="s">
        <v>162</v>
      </c>
      <c r="C126" s="486">
        <f t="shared" si="1"/>
        <v>62.620614963927025</v>
      </c>
      <c r="D126" s="487"/>
      <c r="E126" s="52">
        <f t="shared" si="2"/>
        <v>12</v>
      </c>
      <c r="F126" s="53">
        <f t="shared" si="0"/>
        <v>29.191227113324842</v>
      </c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CR126" s="13"/>
      <c r="CS126" s="13"/>
      <c r="CT126" s="13"/>
      <c r="CU126" s="13"/>
      <c r="CV126" s="13"/>
      <c r="CW126" s="13"/>
      <c r="CX126" s="13"/>
      <c r="CY126" s="13"/>
      <c r="CZ126" s="13"/>
      <c r="DA126" s="13"/>
      <c r="DB126" s="13"/>
      <c r="DC126" s="13"/>
      <c r="DD126" s="13"/>
      <c r="DE126" s="13"/>
      <c r="DF126" s="13"/>
      <c r="DG126" s="13"/>
      <c r="DH126" s="13"/>
      <c r="DI126" s="13"/>
      <c r="DJ126" s="13"/>
      <c r="DK126" s="13"/>
      <c r="DL126" s="13"/>
      <c r="DM126" s="13"/>
      <c r="DN126" s="13"/>
      <c r="DO126" s="13"/>
      <c r="DP126" s="13"/>
      <c r="DQ126" s="13"/>
      <c r="DR126" s="13"/>
      <c r="DS126" s="13"/>
      <c r="DT126" s="13"/>
      <c r="DU126" s="14"/>
      <c r="DV126" s="13"/>
      <c r="DW126" s="13"/>
      <c r="DX126" s="13"/>
      <c r="DY126" s="13"/>
      <c r="DZ126" s="13"/>
      <c r="EA126" s="13"/>
      <c r="EB126" s="13"/>
    </row>
    <row r="127" spans="1:132" s="2" customFormat="1">
      <c r="A127" s="36"/>
      <c r="B127" s="55" t="s">
        <v>163</v>
      </c>
      <c r="C127" s="486">
        <f t="shared" si="1"/>
        <v>126.02106103550133</v>
      </c>
      <c r="D127" s="487"/>
      <c r="E127" s="52">
        <f t="shared" si="2"/>
        <v>49</v>
      </c>
      <c r="F127" s="53">
        <f t="shared" si="0"/>
        <v>29.002285251389139</v>
      </c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CR127" s="13"/>
      <c r="CS127" s="13"/>
      <c r="CT127" s="13"/>
      <c r="CU127" s="13"/>
      <c r="CV127" s="13"/>
      <c r="CW127" s="13"/>
      <c r="CX127" s="13"/>
      <c r="CY127" s="13"/>
      <c r="CZ127" s="13"/>
      <c r="DA127" s="13"/>
      <c r="DB127" s="13"/>
      <c r="DC127" s="13"/>
      <c r="DD127" s="13"/>
      <c r="DE127" s="13"/>
      <c r="DF127" s="13"/>
      <c r="DG127" s="13"/>
      <c r="DH127" s="13"/>
      <c r="DI127" s="13"/>
      <c r="DJ127" s="13"/>
      <c r="DK127" s="13"/>
      <c r="DL127" s="13"/>
      <c r="DM127" s="13"/>
      <c r="DN127" s="13"/>
      <c r="DO127" s="13"/>
      <c r="DP127" s="13"/>
      <c r="DQ127" s="13"/>
      <c r="DR127" s="13"/>
      <c r="DS127" s="13"/>
      <c r="DT127" s="13"/>
      <c r="DU127" s="14"/>
      <c r="DV127" s="13"/>
      <c r="DW127" s="13"/>
      <c r="DX127" s="13"/>
      <c r="DY127" s="13"/>
      <c r="DZ127" s="13"/>
      <c r="EA127" s="13"/>
      <c r="EB127" s="13"/>
    </row>
    <row r="128" spans="1:132" s="2" customFormat="1">
      <c r="A128" s="36"/>
      <c r="B128" s="55" t="s">
        <v>164</v>
      </c>
      <c r="C128" s="486" t="str">
        <f t="shared" si="1"/>
        <v/>
      </c>
      <c r="D128" s="487"/>
      <c r="E128" s="52" t="str">
        <f t="shared" si="2"/>
        <v/>
      </c>
      <c r="F128" s="53" t="str">
        <f t="shared" si="0"/>
        <v/>
      </c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CR128" s="13"/>
      <c r="CS128" s="13"/>
      <c r="CT128" s="13"/>
      <c r="CU128" s="13"/>
      <c r="CV128" s="13"/>
      <c r="CW128" s="13"/>
      <c r="CX128" s="13"/>
      <c r="CY128" s="13"/>
      <c r="CZ128" s="13"/>
      <c r="DA128" s="13"/>
      <c r="DB128" s="13"/>
      <c r="DC128" s="13"/>
      <c r="DD128" s="13"/>
      <c r="DE128" s="13"/>
      <c r="DF128" s="13"/>
      <c r="DG128" s="13"/>
      <c r="DH128" s="13"/>
      <c r="DI128" s="13"/>
      <c r="DJ128" s="13"/>
      <c r="DK128" s="13"/>
      <c r="DL128" s="13"/>
      <c r="DM128" s="13"/>
      <c r="DN128" s="13"/>
      <c r="DO128" s="13"/>
      <c r="DP128" s="13"/>
      <c r="DQ128" s="13"/>
      <c r="DR128" s="13"/>
      <c r="DS128" s="13"/>
      <c r="DT128" s="13"/>
      <c r="DU128" s="14"/>
      <c r="DV128" s="13"/>
      <c r="DW128" s="13"/>
      <c r="DX128" s="13"/>
      <c r="DY128" s="13"/>
      <c r="DZ128" s="13"/>
      <c r="EA128" s="13"/>
      <c r="EB128" s="13"/>
    </row>
    <row r="129" spans="1:132" s="2" customFormat="1">
      <c r="A129" s="36"/>
      <c r="B129" s="55" t="s">
        <v>165</v>
      </c>
      <c r="C129" s="486">
        <f t="shared" si="1"/>
        <v>197.86706888204094</v>
      </c>
      <c r="D129" s="487"/>
      <c r="E129" s="52">
        <f t="shared" si="2"/>
        <v>24</v>
      </c>
      <c r="F129" s="53">
        <f t="shared" si="0"/>
        <v>2.9313614777466057</v>
      </c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CR129" s="13"/>
      <c r="CS129" s="13"/>
      <c r="CT129" s="13"/>
      <c r="CU129" s="13"/>
      <c r="CV129" s="13"/>
      <c r="CW129" s="13"/>
      <c r="CX129" s="13"/>
      <c r="CY129" s="13"/>
      <c r="CZ129" s="13"/>
      <c r="DA129" s="13"/>
      <c r="DB129" s="13"/>
      <c r="DC129" s="13"/>
      <c r="DD129" s="13"/>
      <c r="DE129" s="13"/>
      <c r="DF129" s="13"/>
      <c r="DG129" s="13"/>
      <c r="DH129" s="13"/>
      <c r="DI129" s="13"/>
      <c r="DJ129" s="13"/>
      <c r="DK129" s="13"/>
      <c r="DL129" s="13"/>
      <c r="DM129" s="13"/>
      <c r="DN129" s="13"/>
      <c r="DO129" s="13"/>
      <c r="DP129" s="13"/>
      <c r="DQ129" s="13"/>
      <c r="DR129" s="13"/>
      <c r="DS129" s="13"/>
      <c r="DT129" s="13"/>
      <c r="DU129" s="14"/>
      <c r="DV129" s="13"/>
      <c r="DW129" s="13"/>
      <c r="DX129" s="13"/>
      <c r="DY129" s="13"/>
      <c r="DZ129" s="13"/>
      <c r="EA129" s="13"/>
      <c r="EB129" s="13"/>
    </row>
    <row r="130" spans="1:132" s="2" customFormat="1">
      <c r="A130" s="36"/>
      <c r="B130" s="55" t="s">
        <v>166</v>
      </c>
      <c r="C130" s="486">
        <f t="shared" si="1"/>
        <v>262.73911602802218</v>
      </c>
      <c r="D130" s="487"/>
      <c r="E130" s="52">
        <f t="shared" si="2"/>
        <v>41</v>
      </c>
      <c r="F130" s="53">
        <f t="shared" si="0"/>
        <v>39.890744749091454</v>
      </c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CR130" s="13"/>
      <c r="CS130" s="13"/>
      <c r="CT130" s="13"/>
      <c r="CU130" s="13"/>
      <c r="CV130" s="13"/>
      <c r="CW130" s="13"/>
      <c r="CX130" s="13"/>
      <c r="CY130" s="13"/>
      <c r="CZ130" s="13"/>
      <c r="DA130" s="13"/>
      <c r="DB130" s="13"/>
      <c r="DC130" s="13"/>
      <c r="DD130" s="13"/>
      <c r="DE130" s="13"/>
      <c r="DF130" s="13"/>
      <c r="DG130" s="13"/>
      <c r="DH130" s="13"/>
      <c r="DI130" s="13"/>
      <c r="DJ130" s="13"/>
      <c r="DK130" s="13"/>
      <c r="DL130" s="13"/>
      <c r="DM130" s="13"/>
      <c r="DN130" s="13"/>
      <c r="DO130" s="13"/>
      <c r="DP130" s="13"/>
      <c r="DQ130" s="13"/>
      <c r="DR130" s="13"/>
      <c r="DS130" s="13"/>
      <c r="DT130" s="13"/>
      <c r="DU130" s="14"/>
      <c r="DV130" s="13"/>
      <c r="DW130" s="13"/>
      <c r="DX130" s="13"/>
      <c r="DY130" s="13"/>
      <c r="DZ130" s="13"/>
      <c r="EA130" s="13"/>
      <c r="EB130" s="13"/>
    </row>
    <row r="131" spans="1:132" s="2" customFormat="1">
      <c r="A131" s="36"/>
      <c r="B131" s="55" t="s">
        <v>167</v>
      </c>
      <c r="C131" s="486" t="str">
        <f t="shared" si="1"/>
        <v/>
      </c>
      <c r="D131" s="487"/>
      <c r="E131" s="52" t="str">
        <f t="shared" si="2"/>
        <v/>
      </c>
      <c r="F131" s="53" t="str">
        <f t="shared" si="0"/>
        <v/>
      </c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CR131" s="13"/>
      <c r="CS131" s="13"/>
      <c r="CT131" s="13"/>
      <c r="CU131" s="13"/>
      <c r="CV131" s="13"/>
      <c r="CW131" s="13"/>
      <c r="CX131" s="13"/>
      <c r="CY131" s="13"/>
      <c r="CZ131" s="13"/>
      <c r="DA131" s="13"/>
      <c r="DB131" s="13"/>
      <c r="DC131" s="13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  <c r="DU131" s="14"/>
      <c r="DV131" s="13"/>
      <c r="DW131" s="13"/>
      <c r="DX131" s="13"/>
      <c r="DY131" s="13"/>
      <c r="DZ131" s="13"/>
      <c r="EA131" s="13"/>
      <c r="EB131" s="13"/>
    </row>
    <row r="132" spans="1:132" s="2" customFormat="1">
      <c r="A132" s="36"/>
      <c r="B132" s="55" t="s">
        <v>168</v>
      </c>
      <c r="C132" s="486" t="str">
        <f t="shared" si="1"/>
        <v/>
      </c>
      <c r="D132" s="487"/>
      <c r="E132" s="52" t="str">
        <f t="shared" si="2"/>
        <v/>
      </c>
      <c r="F132" s="53" t="str">
        <f t="shared" si="0"/>
        <v/>
      </c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CR132" s="13"/>
      <c r="CS132" s="13"/>
      <c r="CT132" s="13"/>
      <c r="CU132" s="13"/>
      <c r="CV132" s="13"/>
      <c r="CW132" s="13"/>
      <c r="CX132" s="13"/>
      <c r="CY132" s="13"/>
      <c r="CZ132" s="13"/>
      <c r="DA132" s="13"/>
      <c r="DB132" s="13"/>
      <c r="DC132" s="13"/>
      <c r="DD132" s="13"/>
      <c r="DE132" s="13"/>
      <c r="DF132" s="13"/>
      <c r="DG132" s="13"/>
      <c r="DH132" s="13"/>
      <c r="DI132" s="13"/>
      <c r="DJ132" s="13"/>
      <c r="DK132" s="13"/>
      <c r="DL132" s="13"/>
      <c r="DM132" s="13"/>
      <c r="DN132" s="13"/>
      <c r="DO132" s="13"/>
      <c r="DP132" s="13"/>
      <c r="DQ132" s="13"/>
      <c r="DR132" s="13"/>
      <c r="DS132" s="13"/>
      <c r="DT132" s="13"/>
      <c r="DU132" s="14"/>
      <c r="DV132" s="13"/>
      <c r="DW132" s="13"/>
      <c r="DX132" s="13"/>
      <c r="DY132" s="13"/>
      <c r="DZ132" s="13"/>
      <c r="EA132" s="13"/>
      <c r="EB132" s="13"/>
    </row>
    <row r="133" spans="1:132" s="2" customFormat="1">
      <c r="A133" s="36"/>
      <c r="B133" s="55" t="s">
        <v>169</v>
      </c>
      <c r="C133" s="486" t="str">
        <f t="shared" si="1"/>
        <v/>
      </c>
      <c r="D133" s="487"/>
      <c r="E133" s="52" t="str">
        <f t="shared" si="2"/>
        <v/>
      </c>
      <c r="F133" s="53" t="str">
        <f t="shared" si="0"/>
        <v/>
      </c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CR133" s="13"/>
      <c r="CS133" s="13"/>
      <c r="CT133" s="13"/>
      <c r="CU133" s="13"/>
      <c r="CV133" s="13"/>
      <c r="CW133" s="13"/>
      <c r="CX133" s="13"/>
      <c r="CY133" s="13"/>
      <c r="CZ133" s="13"/>
      <c r="DA133" s="13"/>
      <c r="DB133" s="13"/>
      <c r="DC133" s="13"/>
      <c r="DD133" s="13"/>
      <c r="DE133" s="13"/>
      <c r="DF133" s="13"/>
      <c r="DG133" s="13"/>
      <c r="DH133" s="13"/>
      <c r="DI133" s="13"/>
      <c r="DJ133" s="13"/>
      <c r="DK133" s="13"/>
      <c r="DL133" s="13"/>
      <c r="DM133" s="13"/>
      <c r="DN133" s="13"/>
      <c r="DO133" s="13"/>
      <c r="DP133" s="13"/>
      <c r="DQ133" s="13"/>
      <c r="DR133" s="13"/>
      <c r="DS133" s="13"/>
      <c r="DT133" s="13"/>
      <c r="DU133" s="14"/>
      <c r="DV133" s="13"/>
      <c r="DW133" s="13"/>
      <c r="DX133" s="13"/>
      <c r="DY133" s="13"/>
      <c r="DZ133" s="13"/>
      <c r="EA133" s="13"/>
      <c r="EB133" s="13"/>
    </row>
    <row r="134" spans="1:132" s="2" customFormat="1">
      <c r="A134" s="36"/>
      <c r="B134" s="55" t="s">
        <v>170</v>
      </c>
      <c r="C134" s="486" t="str">
        <f t="shared" si="1"/>
        <v/>
      </c>
      <c r="D134" s="487"/>
      <c r="E134" s="52" t="str">
        <f t="shared" si="2"/>
        <v/>
      </c>
      <c r="F134" s="53" t="str">
        <f t="shared" si="0"/>
        <v/>
      </c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CR134" s="13"/>
      <c r="CS134" s="13"/>
      <c r="CT134" s="13"/>
      <c r="CU134" s="13"/>
      <c r="CV134" s="13"/>
      <c r="CW134" s="13"/>
      <c r="CX134" s="13"/>
      <c r="CY134" s="13"/>
      <c r="CZ134" s="13"/>
      <c r="DA134" s="13"/>
      <c r="DB134" s="13"/>
      <c r="DC134" s="13"/>
      <c r="DD134" s="13"/>
      <c r="DE134" s="13"/>
      <c r="DF134" s="13"/>
      <c r="DG134" s="13"/>
      <c r="DH134" s="13"/>
      <c r="DI134" s="13"/>
      <c r="DJ134" s="13"/>
      <c r="DK134" s="13"/>
      <c r="DL134" s="13"/>
      <c r="DM134" s="13"/>
      <c r="DN134" s="13"/>
      <c r="DO134" s="13"/>
      <c r="DP134" s="13"/>
      <c r="DQ134" s="13"/>
      <c r="DR134" s="13"/>
      <c r="DS134" s="13"/>
      <c r="DT134" s="13"/>
      <c r="DU134" s="14"/>
      <c r="DV134" s="13"/>
      <c r="DW134" s="13"/>
      <c r="DX134" s="13"/>
      <c r="DY134" s="13"/>
      <c r="DZ134" s="13"/>
      <c r="EA134" s="13"/>
      <c r="EB134" s="13"/>
    </row>
    <row r="135" spans="1:132" s="2" customFormat="1">
      <c r="A135" s="36"/>
      <c r="B135" s="55" t="s">
        <v>171</v>
      </c>
      <c r="C135" s="486" t="str">
        <f t="shared" si="1"/>
        <v/>
      </c>
      <c r="D135" s="487"/>
      <c r="E135" s="52" t="str">
        <f t="shared" si="2"/>
        <v/>
      </c>
      <c r="F135" s="53" t="str">
        <f t="shared" si="0"/>
        <v/>
      </c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CR135" s="13"/>
      <c r="CS135" s="13"/>
      <c r="CT135" s="13"/>
      <c r="CU135" s="13"/>
      <c r="CV135" s="13"/>
      <c r="CW135" s="13"/>
      <c r="CX135" s="13"/>
      <c r="CY135" s="13"/>
      <c r="CZ135" s="13"/>
      <c r="DA135" s="13"/>
      <c r="DB135" s="13"/>
      <c r="DC135" s="13"/>
      <c r="DD135" s="13"/>
      <c r="DE135" s="13"/>
      <c r="DF135" s="13"/>
      <c r="DG135" s="13"/>
      <c r="DH135" s="13"/>
      <c r="DI135" s="13"/>
      <c r="DJ135" s="13"/>
      <c r="DK135" s="13"/>
      <c r="DL135" s="13"/>
      <c r="DM135" s="13"/>
      <c r="DN135" s="13"/>
      <c r="DO135" s="13"/>
      <c r="DP135" s="13"/>
      <c r="DQ135" s="13"/>
      <c r="DR135" s="13"/>
      <c r="DS135" s="13"/>
      <c r="DT135" s="13"/>
      <c r="DU135" s="14"/>
      <c r="DV135" s="13"/>
      <c r="DW135" s="13"/>
      <c r="DX135" s="13"/>
      <c r="DY135" s="13"/>
      <c r="DZ135" s="13"/>
      <c r="EA135" s="13"/>
      <c r="EB135" s="13"/>
    </row>
    <row r="136" spans="1:132" s="2" customFormat="1">
      <c r="A136" s="36"/>
      <c r="B136" s="55" t="s">
        <v>172</v>
      </c>
      <c r="C136" s="486" t="str">
        <f t="shared" si="1"/>
        <v/>
      </c>
      <c r="D136" s="487"/>
      <c r="E136" s="52" t="str">
        <f t="shared" si="2"/>
        <v/>
      </c>
      <c r="F136" s="53" t="str">
        <f t="shared" si="0"/>
        <v/>
      </c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CR136" s="13"/>
      <c r="CS136" s="13"/>
      <c r="CT136" s="13"/>
      <c r="CU136" s="13"/>
      <c r="CV136" s="13"/>
      <c r="CW136" s="13"/>
      <c r="CX136" s="13"/>
      <c r="CY136" s="13"/>
      <c r="CZ136" s="13"/>
      <c r="DA136" s="13"/>
      <c r="DB136" s="13"/>
      <c r="DC136" s="13"/>
      <c r="DD136" s="13"/>
      <c r="DE136" s="13"/>
      <c r="DF136" s="13"/>
      <c r="DG136" s="13"/>
      <c r="DH136" s="13"/>
      <c r="DI136" s="13"/>
      <c r="DJ136" s="13"/>
      <c r="DK136" s="13"/>
      <c r="DL136" s="13"/>
      <c r="DM136" s="13"/>
      <c r="DN136" s="13"/>
      <c r="DO136" s="13"/>
      <c r="DP136" s="13"/>
      <c r="DQ136" s="13"/>
      <c r="DR136" s="13"/>
      <c r="DS136" s="13"/>
      <c r="DT136" s="13"/>
      <c r="DU136" s="14"/>
      <c r="DV136" s="13"/>
      <c r="DW136" s="13"/>
      <c r="DX136" s="13"/>
      <c r="DY136" s="13"/>
      <c r="DZ136" s="13"/>
      <c r="EA136" s="13"/>
      <c r="EB136" s="13"/>
    </row>
    <row r="137" spans="1:132" s="2" customFormat="1">
      <c r="A137" s="36"/>
      <c r="B137" s="55" t="s">
        <v>173</v>
      </c>
      <c r="C137" s="486">
        <f t="shared" si="1"/>
        <v>61.787789323301539</v>
      </c>
      <c r="D137" s="487"/>
      <c r="E137" s="52">
        <f t="shared" si="2"/>
        <v>55</v>
      </c>
      <c r="F137" s="53">
        <f t="shared" si="0"/>
        <v>47.911328093075554</v>
      </c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CR137" s="13"/>
      <c r="CS137" s="13"/>
      <c r="CT137" s="13"/>
      <c r="CU137" s="13"/>
      <c r="CV137" s="13"/>
      <c r="CW137" s="13"/>
      <c r="CX137" s="13"/>
      <c r="CY137" s="13"/>
      <c r="CZ137" s="13"/>
      <c r="DA137" s="13"/>
      <c r="DB137" s="13"/>
      <c r="DC137" s="13"/>
      <c r="DD137" s="13"/>
      <c r="DE137" s="13"/>
      <c r="DF137" s="13"/>
      <c r="DG137" s="13"/>
      <c r="DH137" s="13"/>
      <c r="DI137" s="13"/>
      <c r="DJ137" s="13"/>
      <c r="DK137" s="13"/>
      <c r="DL137" s="13"/>
      <c r="DM137" s="13"/>
      <c r="DN137" s="13"/>
      <c r="DO137" s="13"/>
      <c r="DP137" s="13"/>
      <c r="DQ137" s="13"/>
      <c r="DR137" s="13"/>
      <c r="DS137" s="13"/>
      <c r="DT137" s="13"/>
      <c r="DU137" s="14"/>
      <c r="DV137" s="13"/>
      <c r="DW137" s="13"/>
      <c r="DX137" s="13"/>
      <c r="DY137" s="13"/>
      <c r="DZ137" s="13"/>
      <c r="EA137" s="13"/>
      <c r="EB137" s="13"/>
    </row>
    <row r="138" spans="1:132" s="2" customFormat="1">
      <c r="A138" s="36"/>
      <c r="B138" s="55" t="s">
        <v>174</v>
      </c>
      <c r="C138" s="486">
        <f t="shared" si="1"/>
        <v>280.59299680874284</v>
      </c>
      <c r="D138" s="487"/>
      <c r="E138" s="52">
        <f t="shared" si="2"/>
        <v>10</v>
      </c>
      <c r="F138" s="53">
        <f t="shared" si="0"/>
        <v>9.4034146695314291E-2</v>
      </c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CR138" s="13"/>
      <c r="CS138" s="13"/>
      <c r="CT138" s="13"/>
      <c r="CU138" s="13"/>
      <c r="CV138" s="13"/>
      <c r="CW138" s="13"/>
      <c r="CX138" s="13"/>
      <c r="CY138" s="13"/>
      <c r="CZ138" s="13"/>
      <c r="DA138" s="13"/>
      <c r="DB138" s="13"/>
      <c r="DC138" s="13"/>
      <c r="DD138" s="13"/>
      <c r="DE138" s="13"/>
      <c r="DF138" s="13"/>
      <c r="DG138" s="13"/>
      <c r="DH138" s="13"/>
      <c r="DI138" s="13"/>
      <c r="DJ138" s="13"/>
      <c r="DK138" s="13"/>
      <c r="DL138" s="13"/>
      <c r="DM138" s="13"/>
      <c r="DN138" s="13"/>
      <c r="DO138" s="13"/>
      <c r="DP138" s="13"/>
      <c r="DQ138" s="13"/>
      <c r="DR138" s="13"/>
      <c r="DS138" s="13"/>
      <c r="DT138" s="13"/>
      <c r="DU138" s="14"/>
      <c r="DV138" s="13"/>
      <c r="DW138" s="13"/>
      <c r="DX138" s="13"/>
      <c r="DY138" s="13"/>
      <c r="DZ138" s="13"/>
      <c r="EA138" s="13"/>
      <c r="EB138" s="13"/>
    </row>
    <row r="139" spans="1:132" s="2" customFormat="1">
      <c r="A139" s="36"/>
      <c r="B139" s="55" t="s">
        <v>175</v>
      </c>
      <c r="C139" s="486" t="str">
        <f t="shared" si="1"/>
        <v/>
      </c>
      <c r="D139" s="487"/>
      <c r="E139" s="52" t="str">
        <f t="shared" si="2"/>
        <v/>
      </c>
      <c r="F139" s="53" t="str">
        <f t="shared" si="0"/>
        <v/>
      </c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CR139" s="13"/>
      <c r="CS139" s="13"/>
      <c r="CT139" s="13"/>
      <c r="CU139" s="13"/>
      <c r="CV139" s="13"/>
      <c r="CW139" s="13"/>
      <c r="CX139" s="13"/>
      <c r="CY139" s="13"/>
      <c r="CZ139" s="13"/>
      <c r="DA139" s="13"/>
      <c r="DB139" s="13"/>
      <c r="DC139" s="13"/>
      <c r="DD139" s="13"/>
      <c r="DE139" s="13"/>
      <c r="DF139" s="13"/>
      <c r="DG139" s="13"/>
      <c r="DH139" s="13"/>
      <c r="DI139" s="13"/>
      <c r="DJ139" s="13"/>
      <c r="DK139" s="13"/>
      <c r="DL139" s="13"/>
      <c r="DM139" s="13"/>
      <c r="DN139" s="13"/>
      <c r="DO139" s="13"/>
      <c r="DP139" s="13"/>
      <c r="DQ139" s="13"/>
      <c r="DR139" s="13"/>
      <c r="DS139" s="13"/>
      <c r="DT139" s="13"/>
      <c r="DU139" s="14"/>
      <c r="DV139" s="13"/>
      <c r="DW139" s="13"/>
      <c r="DX139" s="13"/>
      <c r="DY139" s="13"/>
      <c r="DZ139" s="13"/>
      <c r="EA139" s="13"/>
      <c r="EB139" s="13"/>
    </row>
    <row r="140" spans="1:132" s="2" customFormat="1">
      <c r="A140" s="36"/>
      <c r="B140" s="55" t="s">
        <v>176</v>
      </c>
      <c r="C140" s="486">
        <f t="shared" si="1"/>
        <v>327.9414804388457</v>
      </c>
      <c r="D140" s="487"/>
      <c r="E140" s="52">
        <f t="shared" si="2"/>
        <v>27</v>
      </c>
      <c r="F140" s="53">
        <f t="shared" si="0"/>
        <v>57.462814911194897</v>
      </c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CR140" s="13"/>
      <c r="CS140" s="13"/>
      <c r="CT140" s="13"/>
      <c r="CU140" s="13"/>
      <c r="CV140" s="13"/>
      <c r="CW140" s="13"/>
      <c r="CX140" s="13"/>
      <c r="CY140" s="13"/>
      <c r="CZ140" s="13"/>
      <c r="DA140" s="13"/>
      <c r="DB140" s="13"/>
      <c r="DC140" s="13"/>
      <c r="DD140" s="13"/>
      <c r="DE140" s="13"/>
      <c r="DF140" s="13"/>
      <c r="DG140" s="13"/>
      <c r="DH140" s="13"/>
      <c r="DI140" s="13"/>
      <c r="DJ140" s="13"/>
      <c r="DK140" s="13"/>
      <c r="DL140" s="13"/>
      <c r="DM140" s="13"/>
      <c r="DN140" s="13"/>
      <c r="DO140" s="13"/>
      <c r="DP140" s="13"/>
      <c r="DQ140" s="13"/>
      <c r="DR140" s="13"/>
      <c r="DS140" s="13"/>
      <c r="DT140" s="13"/>
      <c r="DU140" s="14"/>
      <c r="DV140" s="13"/>
      <c r="DW140" s="13"/>
      <c r="DX140" s="13"/>
      <c r="DY140" s="13"/>
      <c r="DZ140" s="13"/>
      <c r="EA140" s="13"/>
      <c r="EB140" s="13"/>
    </row>
    <row r="141" spans="1:132" s="2" customFormat="1">
      <c r="A141" s="36"/>
      <c r="B141" s="55" t="s">
        <v>177</v>
      </c>
      <c r="C141" s="486" t="str">
        <f t="shared" si="1"/>
        <v/>
      </c>
      <c r="D141" s="487"/>
      <c r="E141" s="52" t="str">
        <f t="shared" si="2"/>
        <v/>
      </c>
      <c r="F141" s="53" t="str">
        <f t="shared" si="0"/>
        <v/>
      </c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CR141" s="13"/>
      <c r="CS141" s="13"/>
      <c r="CT141" s="13"/>
      <c r="CU141" s="13"/>
      <c r="CV141" s="13"/>
      <c r="CW141" s="13"/>
      <c r="CX141" s="13"/>
      <c r="CY141" s="13"/>
      <c r="CZ141" s="13"/>
      <c r="DA141" s="13"/>
      <c r="DB141" s="13"/>
      <c r="DC141" s="13"/>
      <c r="DD141" s="13"/>
      <c r="DE141" s="13"/>
      <c r="DF141" s="13"/>
      <c r="DG141" s="13"/>
      <c r="DH141" s="13"/>
      <c r="DI141" s="13"/>
      <c r="DJ141" s="13"/>
      <c r="DK141" s="13"/>
      <c r="DL141" s="13"/>
      <c r="DM141" s="13"/>
      <c r="DN141" s="13"/>
      <c r="DO141" s="13"/>
      <c r="DP141" s="13"/>
      <c r="DQ141" s="13"/>
      <c r="DR141" s="13"/>
      <c r="DS141" s="13"/>
      <c r="DT141" s="13"/>
      <c r="DU141" s="14"/>
      <c r="DV141" s="13"/>
      <c r="DW141" s="13"/>
      <c r="DX141" s="13"/>
      <c r="DY141" s="13"/>
      <c r="DZ141" s="13"/>
      <c r="EA141" s="13"/>
      <c r="EB141" s="13"/>
    </row>
    <row r="142" spans="1:132" s="2" customFormat="1">
      <c r="A142" s="36"/>
      <c r="B142" s="55" t="s">
        <v>178</v>
      </c>
      <c r="C142" s="486">
        <f t="shared" si="1"/>
        <v>9.0608156291507669</v>
      </c>
      <c r="D142" s="487"/>
      <c r="E142" s="52">
        <f t="shared" si="2"/>
        <v>75</v>
      </c>
      <c r="F142" s="53">
        <f t="shared" si="0"/>
        <v>29.016349883407315</v>
      </c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CR142" s="13"/>
      <c r="CS142" s="13"/>
      <c r="CT142" s="13"/>
      <c r="CU142" s="13"/>
      <c r="CV142" s="13"/>
      <c r="CW142" s="13"/>
      <c r="CX142" s="13"/>
      <c r="CY142" s="13"/>
      <c r="CZ142" s="13"/>
      <c r="DA142" s="13"/>
      <c r="DB142" s="13"/>
      <c r="DC142" s="13"/>
      <c r="DD142" s="13"/>
      <c r="DE142" s="13"/>
      <c r="DF142" s="13"/>
      <c r="DG142" s="13"/>
      <c r="DH142" s="13"/>
      <c r="DI142" s="13"/>
      <c r="DJ142" s="13"/>
      <c r="DK142" s="13"/>
      <c r="DL142" s="13"/>
      <c r="DM142" s="13"/>
      <c r="DN142" s="13"/>
      <c r="DO142" s="13"/>
      <c r="DP142" s="13"/>
      <c r="DQ142" s="13"/>
      <c r="DR142" s="13"/>
      <c r="DS142" s="13"/>
      <c r="DT142" s="13"/>
      <c r="DU142" s="14"/>
      <c r="DV142" s="13"/>
      <c r="DW142" s="13"/>
      <c r="DX142" s="13"/>
      <c r="DY142" s="13"/>
      <c r="DZ142" s="13"/>
      <c r="EA142" s="13"/>
      <c r="EB142" s="13"/>
    </row>
    <row r="143" spans="1:132" s="2" customFormat="1">
      <c r="A143" s="36"/>
      <c r="B143" s="55" t="s">
        <v>179</v>
      </c>
      <c r="C143" s="486">
        <f t="shared" si="1"/>
        <v>100.25562901885851</v>
      </c>
      <c r="D143" s="487"/>
      <c r="E143" s="52">
        <f t="shared" si="2"/>
        <v>29</v>
      </c>
      <c r="F143" s="53">
        <f t="shared" si="0"/>
        <v>25.591593031610458</v>
      </c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CR143" s="13"/>
      <c r="CS143" s="13"/>
      <c r="CT143" s="13"/>
      <c r="CU143" s="13"/>
      <c r="CV143" s="13"/>
      <c r="CW143" s="13"/>
      <c r="CX143" s="13"/>
      <c r="CY143" s="13"/>
      <c r="CZ143" s="13"/>
      <c r="DA143" s="13"/>
      <c r="DB143" s="13"/>
      <c r="DC143" s="13"/>
      <c r="DD143" s="13"/>
      <c r="DE143" s="13"/>
      <c r="DF143" s="13"/>
      <c r="DG143" s="13"/>
      <c r="DH143" s="13"/>
      <c r="DI143" s="13"/>
      <c r="DJ143" s="13"/>
      <c r="DK143" s="13"/>
      <c r="DL143" s="13"/>
      <c r="DM143" s="13"/>
      <c r="DN143" s="13"/>
      <c r="DO143" s="13"/>
      <c r="DP143" s="13"/>
      <c r="DQ143" s="13"/>
      <c r="DR143" s="13"/>
      <c r="DS143" s="13"/>
      <c r="DT143" s="13"/>
      <c r="DU143" s="14"/>
      <c r="DV143" s="13"/>
      <c r="DW143" s="13"/>
      <c r="DX143" s="13"/>
      <c r="DY143" s="13"/>
      <c r="DZ143" s="13"/>
      <c r="EA143" s="13"/>
      <c r="EB143" s="13"/>
    </row>
    <row r="144" spans="1:132" s="2" customFormat="1">
      <c r="A144" s="36"/>
      <c r="B144" s="55" t="s">
        <v>180</v>
      </c>
      <c r="C144" s="486" t="str">
        <f t="shared" si="1"/>
        <v/>
      </c>
      <c r="D144" s="487"/>
      <c r="E144" s="52" t="str">
        <f t="shared" si="2"/>
        <v/>
      </c>
      <c r="F144" s="53" t="str">
        <f t="shared" si="0"/>
        <v/>
      </c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CR144" s="13"/>
      <c r="CS144" s="13"/>
      <c r="CT144" s="13"/>
      <c r="CU144" s="13"/>
      <c r="CV144" s="13"/>
      <c r="CW144" s="13"/>
      <c r="CX144" s="13"/>
      <c r="CY144" s="13"/>
      <c r="CZ144" s="13"/>
      <c r="DA144" s="13"/>
      <c r="DB144" s="13"/>
      <c r="DC144" s="13"/>
      <c r="DD144" s="13"/>
      <c r="DE144" s="13"/>
      <c r="DF144" s="13"/>
      <c r="DG144" s="13"/>
      <c r="DH144" s="13"/>
      <c r="DI144" s="13"/>
      <c r="DJ144" s="13"/>
      <c r="DK144" s="13"/>
      <c r="DL144" s="13"/>
      <c r="DM144" s="13"/>
      <c r="DN144" s="13"/>
      <c r="DO144" s="13"/>
      <c r="DP144" s="13"/>
      <c r="DQ144" s="13"/>
      <c r="DR144" s="13"/>
      <c r="DS144" s="13"/>
      <c r="DT144" s="13"/>
      <c r="DU144" s="14"/>
      <c r="DV144" s="13"/>
      <c r="DW144" s="13"/>
      <c r="DX144" s="13"/>
      <c r="DY144" s="13"/>
      <c r="DZ144" s="13"/>
      <c r="EA144" s="13"/>
      <c r="EB144" s="13"/>
    </row>
    <row r="145" spans="1:132" s="2" customFormat="1">
      <c r="A145" s="36"/>
      <c r="B145" s="55" t="s">
        <v>181</v>
      </c>
      <c r="C145" s="486" t="str">
        <f t="shared" si="1"/>
        <v/>
      </c>
      <c r="D145" s="487"/>
      <c r="E145" s="52" t="str">
        <f t="shared" si="2"/>
        <v/>
      </c>
      <c r="F145" s="53" t="str">
        <f t="shared" ref="F145:F175" si="3">IF(AK216&lt;0,"",(AK216-E145)*60)</f>
        <v/>
      </c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1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4"/>
      <c r="DV145" s="13"/>
      <c r="DW145" s="13"/>
      <c r="DX145" s="13"/>
      <c r="DY145" s="13"/>
      <c r="DZ145" s="13"/>
      <c r="EA145" s="13"/>
      <c r="EB145" s="13"/>
    </row>
    <row r="146" spans="1:132" s="2" customFormat="1">
      <c r="A146" s="36"/>
      <c r="B146" s="55" t="s">
        <v>182</v>
      </c>
      <c r="C146" s="486" t="str">
        <f t="shared" si="1"/>
        <v/>
      </c>
      <c r="D146" s="487"/>
      <c r="E146" s="52" t="str">
        <f t="shared" si="2"/>
        <v/>
      </c>
      <c r="F146" s="53" t="str">
        <f t="shared" si="3"/>
        <v/>
      </c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1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4"/>
      <c r="DV146" s="13"/>
      <c r="DW146" s="13"/>
      <c r="DX146" s="13"/>
      <c r="DY146" s="13"/>
      <c r="DZ146" s="13"/>
      <c r="EA146" s="13"/>
      <c r="EB146" s="13"/>
    </row>
    <row r="147" spans="1:132" s="2" customFormat="1">
      <c r="A147" s="36"/>
      <c r="B147" s="55" t="s">
        <v>183</v>
      </c>
      <c r="C147" s="486" t="str">
        <f t="shared" si="1"/>
        <v/>
      </c>
      <c r="D147" s="487"/>
      <c r="E147" s="52" t="str">
        <f t="shared" si="2"/>
        <v/>
      </c>
      <c r="F147" s="53" t="str">
        <f t="shared" si="3"/>
        <v/>
      </c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CR147" s="13"/>
      <c r="CS147" s="13"/>
      <c r="CT147" s="13"/>
      <c r="CU147" s="13"/>
      <c r="CV147" s="13"/>
      <c r="CW147" s="13"/>
      <c r="CX147" s="13"/>
      <c r="CY147" s="13"/>
      <c r="CZ147" s="13"/>
      <c r="DA147" s="13"/>
      <c r="DB147" s="13"/>
      <c r="DC147" s="13"/>
      <c r="DD147" s="13"/>
      <c r="DE147" s="13"/>
      <c r="DF147" s="13"/>
      <c r="DG147" s="13"/>
      <c r="DH147" s="13"/>
      <c r="DI147" s="13"/>
      <c r="DJ147" s="13"/>
      <c r="DK147" s="13"/>
      <c r="DL147" s="13"/>
      <c r="DM147" s="13"/>
      <c r="DN147" s="13"/>
      <c r="DO147" s="13"/>
      <c r="DP147" s="13"/>
      <c r="DQ147" s="13"/>
      <c r="DR147" s="13"/>
      <c r="DS147" s="13"/>
      <c r="DT147" s="13"/>
      <c r="DU147" s="14"/>
      <c r="DV147" s="13"/>
      <c r="DW147" s="13"/>
      <c r="DX147" s="13"/>
      <c r="DY147" s="13"/>
      <c r="DZ147" s="13"/>
      <c r="EA147" s="13"/>
      <c r="EB147" s="13"/>
    </row>
    <row r="148" spans="1:132" s="2" customFormat="1">
      <c r="A148" s="36"/>
      <c r="B148" s="55" t="s">
        <v>184</v>
      </c>
      <c r="C148" s="486" t="str">
        <f t="shared" si="1"/>
        <v/>
      </c>
      <c r="D148" s="487"/>
      <c r="E148" s="52" t="str">
        <f t="shared" si="2"/>
        <v/>
      </c>
      <c r="F148" s="53" t="str">
        <f t="shared" si="3"/>
        <v/>
      </c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CR148" s="13"/>
      <c r="CS148" s="13"/>
      <c r="CT148" s="13"/>
      <c r="CU148" s="13"/>
      <c r="CV148" s="13"/>
      <c r="CW148" s="13"/>
      <c r="CX148" s="13"/>
      <c r="CY148" s="13"/>
      <c r="CZ148" s="13"/>
      <c r="DA148" s="13"/>
      <c r="DB148" s="13"/>
      <c r="DC148" s="13"/>
      <c r="DD148" s="13"/>
      <c r="DE148" s="13"/>
      <c r="DF148" s="13"/>
      <c r="DG148" s="13"/>
      <c r="DH148" s="13"/>
      <c r="DI148" s="13"/>
      <c r="DJ148" s="13"/>
      <c r="DK148" s="13"/>
      <c r="DL148" s="13"/>
      <c r="DM148" s="13"/>
      <c r="DN148" s="13"/>
      <c r="DO148" s="13"/>
      <c r="DP148" s="13"/>
      <c r="DQ148" s="13"/>
      <c r="DR148" s="13"/>
      <c r="DS148" s="13"/>
      <c r="DT148" s="13"/>
      <c r="DU148" s="14"/>
      <c r="DV148" s="13"/>
      <c r="DW148" s="13"/>
      <c r="DX148" s="13"/>
      <c r="DY148" s="13"/>
      <c r="DZ148" s="13"/>
      <c r="EA148" s="13"/>
      <c r="EB148" s="13"/>
    </row>
    <row r="149" spans="1:132" s="2" customFormat="1">
      <c r="A149" s="36"/>
      <c r="B149" s="55" t="s">
        <v>242</v>
      </c>
      <c r="C149" s="486" t="str">
        <f t="shared" si="1"/>
        <v/>
      </c>
      <c r="D149" s="487"/>
      <c r="E149" s="52" t="str">
        <f t="shared" si="2"/>
        <v/>
      </c>
      <c r="F149" s="53" t="str">
        <f t="shared" si="3"/>
        <v/>
      </c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CR149" s="13"/>
      <c r="CS149" s="13"/>
      <c r="CT149" s="13"/>
      <c r="CU149" s="13"/>
      <c r="CV149" s="13"/>
      <c r="CW149" s="13"/>
      <c r="CX149" s="13"/>
      <c r="CY149" s="13"/>
      <c r="CZ149" s="13"/>
      <c r="DA149" s="13"/>
      <c r="DB149" s="13"/>
      <c r="DC149" s="13"/>
      <c r="DD149" s="13"/>
      <c r="DE149" s="13"/>
      <c r="DF149" s="13"/>
      <c r="DG149" s="13"/>
      <c r="DH149" s="13"/>
      <c r="DI149" s="13"/>
      <c r="DJ149" s="13"/>
      <c r="DK149" s="13"/>
      <c r="DL149" s="13"/>
      <c r="DM149" s="13"/>
      <c r="DN149" s="13"/>
      <c r="DO149" s="13"/>
      <c r="DP149" s="13"/>
      <c r="DQ149" s="13"/>
      <c r="DR149" s="13"/>
      <c r="DS149" s="13"/>
      <c r="DT149" s="13"/>
      <c r="DU149" s="14"/>
      <c r="DV149" s="13"/>
      <c r="DW149" s="13"/>
      <c r="DX149" s="13"/>
      <c r="DY149" s="13"/>
      <c r="DZ149" s="13"/>
      <c r="EA149" s="13"/>
      <c r="EB149" s="13"/>
    </row>
    <row r="150" spans="1:132" s="2" customFormat="1">
      <c r="A150" s="36"/>
      <c r="B150" s="55" t="s">
        <v>185</v>
      </c>
      <c r="C150" s="486">
        <f t="shared" si="1"/>
        <v>170.96608715130216</v>
      </c>
      <c r="D150" s="487"/>
      <c r="E150" s="52">
        <f t="shared" si="2"/>
        <v>17</v>
      </c>
      <c r="F150" s="53">
        <f t="shared" si="3"/>
        <v>46.574209915391975</v>
      </c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CR150" s="13"/>
      <c r="CS150" s="13"/>
      <c r="CT150" s="13"/>
      <c r="CU150" s="13"/>
      <c r="CV150" s="13"/>
      <c r="CW150" s="13"/>
      <c r="CX150" s="13"/>
      <c r="CY150" s="13"/>
      <c r="CZ150" s="13"/>
      <c r="DA150" s="13"/>
      <c r="DB150" s="13"/>
      <c r="DC150" s="13"/>
      <c r="DD150" s="13"/>
      <c r="DE150" s="13"/>
      <c r="DF150" s="13"/>
      <c r="DG150" s="13"/>
      <c r="DH150" s="13"/>
      <c r="DI150" s="13"/>
      <c r="DJ150" s="13"/>
      <c r="DK150" s="13"/>
      <c r="DL150" s="13"/>
      <c r="DM150" s="13"/>
      <c r="DN150" s="13"/>
      <c r="DO150" s="13"/>
      <c r="DP150" s="13"/>
      <c r="DQ150" s="13"/>
      <c r="DR150" s="13"/>
      <c r="DS150" s="13"/>
      <c r="DT150" s="13"/>
      <c r="DU150" s="14"/>
      <c r="DV150" s="13"/>
      <c r="DW150" s="13"/>
      <c r="DX150" s="13"/>
      <c r="DY150" s="13"/>
      <c r="DZ150" s="13"/>
      <c r="EA150" s="13"/>
      <c r="EB150" s="13"/>
    </row>
    <row r="151" spans="1:132" s="2" customFormat="1">
      <c r="A151" s="36"/>
      <c r="B151" s="55" t="s">
        <v>186</v>
      </c>
      <c r="C151" s="486">
        <f t="shared" si="1"/>
        <v>343.83730517626248</v>
      </c>
      <c r="D151" s="487"/>
      <c r="E151" s="52">
        <f t="shared" si="2"/>
        <v>47</v>
      </c>
      <c r="F151" s="53">
        <f t="shared" si="3"/>
        <v>54.132776306838366</v>
      </c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CR151" s="13"/>
      <c r="CS151" s="13"/>
      <c r="CT151" s="13"/>
      <c r="CU151" s="13"/>
      <c r="CV151" s="13"/>
      <c r="CW151" s="13"/>
      <c r="CX151" s="13"/>
      <c r="CY151" s="13"/>
      <c r="CZ151" s="13"/>
      <c r="DA151" s="13"/>
      <c r="DB151" s="13"/>
      <c r="DC151" s="13"/>
      <c r="DD151" s="13"/>
      <c r="DE151" s="13"/>
      <c r="DF151" s="13"/>
      <c r="DG151" s="13"/>
      <c r="DH151" s="13"/>
      <c r="DI151" s="13"/>
      <c r="DJ151" s="13"/>
      <c r="DK151" s="13"/>
      <c r="DL151" s="13"/>
      <c r="DM151" s="13"/>
      <c r="DN151" s="13"/>
      <c r="DO151" s="13"/>
      <c r="DP151" s="13"/>
      <c r="DQ151" s="13"/>
      <c r="DR151" s="13"/>
      <c r="DS151" s="13"/>
      <c r="DT151" s="13"/>
      <c r="DU151" s="14"/>
      <c r="DV151" s="13"/>
      <c r="DW151" s="13"/>
      <c r="DX151" s="13"/>
      <c r="DY151" s="13"/>
      <c r="DZ151" s="13"/>
      <c r="EA151" s="13"/>
      <c r="EB151" s="13"/>
    </row>
    <row r="152" spans="1:132" s="2" customFormat="1">
      <c r="A152" s="36"/>
      <c r="B152" s="55" t="s">
        <v>187</v>
      </c>
      <c r="C152" s="486">
        <f t="shared" si="1"/>
        <v>83.054208518558795</v>
      </c>
      <c r="D152" s="487"/>
      <c r="E152" s="52">
        <f t="shared" si="2"/>
        <v>16</v>
      </c>
      <c r="F152" s="53">
        <f t="shared" si="3"/>
        <v>33.252277166913089</v>
      </c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CR152" s="13"/>
      <c r="CS152" s="13"/>
      <c r="CT152" s="13"/>
      <c r="CU152" s="13"/>
      <c r="CV152" s="13"/>
      <c r="CW152" s="13"/>
      <c r="CX152" s="13"/>
      <c r="CY152" s="13"/>
      <c r="CZ152" s="13"/>
      <c r="DA152" s="13"/>
      <c r="DB152" s="13"/>
      <c r="DC152" s="13"/>
      <c r="DD152" s="13"/>
      <c r="DE152" s="13"/>
      <c r="DF152" s="13"/>
      <c r="DG152" s="13"/>
      <c r="DH152" s="13"/>
      <c r="DI152" s="13"/>
      <c r="DJ152" s="13"/>
      <c r="DK152" s="13"/>
      <c r="DL152" s="13"/>
      <c r="DM152" s="13"/>
      <c r="DN152" s="13"/>
      <c r="DO152" s="13"/>
      <c r="DP152" s="13"/>
      <c r="DQ152" s="13"/>
      <c r="DR152" s="13"/>
      <c r="DS152" s="13"/>
      <c r="DT152" s="13"/>
      <c r="DU152" s="14"/>
      <c r="DV152" s="13"/>
      <c r="DW152" s="13"/>
      <c r="DX152" s="13"/>
      <c r="DY152" s="13"/>
      <c r="DZ152" s="13"/>
      <c r="EA152" s="13"/>
      <c r="EB152" s="13"/>
    </row>
    <row r="153" spans="1:132" s="2" customFormat="1">
      <c r="A153" s="36"/>
      <c r="B153" s="55" t="s">
        <v>234</v>
      </c>
      <c r="C153" s="486">
        <f t="shared" si="1"/>
        <v>247.74271400134012</v>
      </c>
      <c r="D153" s="487"/>
      <c r="E153" s="52">
        <f t="shared" si="2"/>
        <v>13</v>
      </c>
      <c r="F153" s="53">
        <f t="shared" si="3"/>
        <v>51.833976414752492</v>
      </c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CR153" s="13"/>
      <c r="CS153" s="13"/>
      <c r="CT153" s="13"/>
      <c r="CU153" s="13"/>
      <c r="CV153" s="13"/>
      <c r="CW153" s="13"/>
      <c r="CX153" s="13"/>
      <c r="CY153" s="13"/>
      <c r="CZ153" s="13"/>
      <c r="DA153" s="13"/>
      <c r="DB153" s="13"/>
      <c r="DC153" s="13"/>
      <c r="DD153" s="13"/>
      <c r="DE153" s="13"/>
      <c r="DF153" s="13"/>
      <c r="DG153" s="13"/>
      <c r="DH153" s="13"/>
      <c r="DI153" s="13"/>
      <c r="DJ153" s="13"/>
      <c r="DK153" s="13"/>
      <c r="DL153" s="13"/>
      <c r="DM153" s="13"/>
      <c r="DN153" s="13"/>
      <c r="DO153" s="13"/>
      <c r="DP153" s="13"/>
      <c r="DQ153" s="13"/>
      <c r="DR153" s="13"/>
      <c r="DS153" s="13"/>
      <c r="DT153" s="13"/>
      <c r="DU153" s="14"/>
      <c r="DV153" s="13"/>
      <c r="DW153" s="13"/>
      <c r="DX153" s="13"/>
      <c r="DY153" s="13"/>
      <c r="DZ153" s="13"/>
      <c r="EA153" s="13"/>
      <c r="EB153" s="13"/>
    </row>
    <row r="154" spans="1:132" s="2" customFormat="1">
      <c r="A154" s="36"/>
      <c r="B154" s="55" t="s">
        <v>188</v>
      </c>
      <c r="C154" s="486" t="str">
        <f t="shared" si="1"/>
        <v/>
      </c>
      <c r="D154" s="487"/>
      <c r="E154" s="52" t="str">
        <f t="shared" si="2"/>
        <v/>
      </c>
      <c r="F154" s="53" t="str">
        <f t="shared" si="3"/>
        <v/>
      </c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CR154" s="13"/>
      <c r="CS154" s="13"/>
      <c r="CT154" s="13"/>
      <c r="CU154" s="13"/>
      <c r="CV154" s="13"/>
      <c r="CW154" s="13"/>
      <c r="CX154" s="13"/>
      <c r="CY154" s="13"/>
      <c r="CZ154" s="13"/>
      <c r="DA154" s="13"/>
      <c r="DB154" s="13"/>
      <c r="DC154" s="13"/>
      <c r="DD154" s="13"/>
      <c r="DE154" s="13"/>
      <c r="DF154" s="13"/>
      <c r="DG154" s="13"/>
      <c r="DH154" s="13"/>
      <c r="DI154" s="13"/>
      <c r="DJ154" s="13"/>
      <c r="DK154" s="13"/>
      <c r="DL154" s="13"/>
      <c r="DM154" s="13"/>
      <c r="DN154" s="13"/>
      <c r="DO154" s="13"/>
      <c r="DP154" s="13"/>
      <c r="DQ154" s="13"/>
      <c r="DR154" s="13"/>
      <c r="DS154" s="13"/>
      <c r="DT154" s="13"/>
      <c r="DU154" s="14"/>
      <c r="DV154" s="13"/>
      <c r="DW154" s="13"/>
      <c r="DX154" s="13"/>
      <c r="DY154" s="13"/>
      <c r="DZ154" s="13"/>
      <c r="EA154" s="13"/>
      <c r="EB154" s="13"/>
    </row>
    <row r="155" spans="1:132" s="2" customFormat="1">
      <c r="A155" s="36"/>
      <c r="B155" s="55" t="s">
        <v>189</v>
      </c>
      <c r="C155" s="486">
        <f t="shared" si="1"/>
        <v>220.53450252363518</v>
      </c>
      <c r="D155" s="487"/>
      <c r="E155" s="52">
        <f t="shared" si="2"/>
        <v>1</v>
      </c>
      <c r="F155" s="53">
        <f t="shared" si="3"/>
        <v>0.64554067201806564</v>
      </c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CR155" s="13"/>
      <c r="CS155" s="13"/>
      <c r="CT155" s="13"/>
      <c r="CU155" s="13"/>
      <c r="CV155" s="13"/>
      <c r="CW155" s="13"/>
      <c r="CX155" s="13"/>
      <c r="CY155" s="13"/>
      <c r="CZ155" s="13"/>
      <c r="DA155" s="13"/>
      <c r="DB155" s="13"/>
      <c r="DC155" s="13"/>
      <c r="DD155" s="13"/>
      <c r="DE155" s="13"/>
      <c r="DF155" s="13"/>
      <c r="DG155" s="13"/>
      <c r="DH155" s="13"/>
      <c r="DI155" s="13"/>
      <c r="DJ155" s="13"/>
      <c r="DK155" s="13"/>
      <c r="DL155" s="13"/>
      <c r="DM155" s="13"/>
      <c r="DN155" s="13"/>
      <c r="DO155" s="13"/>
      <c r="DP155" s="13"/>
      <c r="DQ155" s="13"/>
      <c r="DR155" s="13"/>
      <c r="DS155" s="13"/>
      <c r="DT155" s="13"/>
      <c r="DU155" s="14"/>
      <c r="DV155" s="13"/>
      <c r="DW155" s="13"/>
      <c r="DX155" s="13"/>
      <c r="DY155" s="13"/>
      <c r="DZ155" s="13"/>
      <c r="EA155" s="13"/>
      <c r="EB155" s="13"/>
    </row>
    <row r="156" spans="1:132" s="2" customFormat="1">
      <c r="A156" s="36"/>
      <c r="B156" s="55" t="s">
        <v>190</v>
      </c>
      <c r="C156" s="486" t="str">
        <f t="shared" si="1"/>
        <v/>
      </c>
      <c r="D156" s="487"/>
      <c r="E156" s="52" t="str">
        <f t="shared" si="2"/>
        <v/>
      </c>
      <c r="F156" s="53" t="str">
        <f t="shared" si="3"/>
        <v/>
      </c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CR156" s="13"/>
      <c r="CS156" s="13"/>
      <c r="CT156" s="13"/>
      <c r="CU156" s="13"/>
      <c r="CV156" s="13"/>
      <c r="CW156" s="13"/>
      <c r="CX156" s="13"/>
      <c r="CY156" s="13"/>
      <c r="CZ156" s="13"/>
      <c r="DA156" s="13"/>
      <c r="DB156" s="13"/>
      <c r="DC156" s="13"/>
      <c r="DD156" s="13"/>
      <c r="DE156" s="13"/>
      <c r="DF156" s="13"/>
      <c r="DG156" s="13"/>
      <c r="DH156" s="13"/>
      <c r="DI156" s="13"/>
      <c r="DJ156" s="13"/>
      <c r="DK156" s="13"/>
      <c r="DL156" s="13"/>
      <c r="DM156" s="13"/>
      <c r="DN156" s="13"/>
      <c r="DO156" s="13"/>
      <c r="DP156" s="13"/>
      <c r="DQ156" s="13"/>
      <c r="DR156" s="13"/>
      <c r="DS156" s="13"/>
      <c r="DT156" s="13"/>
      <c r="DU156" s="14"/>
      <c r="DV156" s="13"/>
      <c r="DW156" s="13"/>
      <c r="DX156" s="13"/>
      <c r="DY156" s="13"/>
      <c r="DZ156" s="13"/>
      <c r="EA156" s="13"/>
      <c r="EB156" s="13"/>
    </row>
    <row r="157" spans="1:132" s="2" customFormat="1">
      <c r="A157" s="36"/>
      <c r="B157" s="55" t="s">
        <v>191</v>
      </c>
      <c r="C157" s="486">
        <f t="shared" si="1"/>
        <v>21.372856591678072</v>
      </c>
      <c r="D157" s="487"/>
      <c r="E157" s="52">
        <f t="shared" si="2"/>
        <v>2</v>
      </c>
      <c r="F157" s="53">
        <f t="shared" si="3"/>
        <v>18.438042373935623</v>
      </c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CR157" s="13"/>
      <c r="CS157" s="13"/>
      <c r="CT157" s="13"/>
      <c r="CU157" s="13"/>
      <c r="CV157" s="13"/>
      <c r="CW157" s="13"/>
      <c r="CX157" s="13"/>
      <c r="CY157" s="13"/>
      <c r="CZ157" s="13"/>
      <c r="DA157" s="13"/>
      <c r="DB157" s="13"/>
      <c r="DC157" s="13"/>
      <c r="DD157" s="13"/>
      <c r="DE157" s="13"/>
      <c r="DF157" s="13"/>
      <c r="DG157" s="13"/>
      <c r="DH157" s="13"/>
      <c r="DI157" s="13"/>
      <c r="DJ157" s="13"/>
      <c r="DK157" s="13"/>
      <c r="DL157" s="13"/>
      <c r="DM157" s="13"/>
      <c r="DN157" s="13"/>
      <c r="DO157" s="13"/>
      <c r="DP157" s="13"/>
      <c r="DQ157" s="13"/>
      <c r="DR157" s="13"/>
      <c r="DS157" s="13"/>
      <c r="DT157" s="13"/>
      <c r="DU157" s="14"/>
      <c r="DV157" s="13"/>
      <c r="DW157" s="13"/>
      <c r="DX157" s="13"/>
      <c r="DY157" s="13"/>
      <c r="DZ157" s="13"/>
      <c r="EA157" s="13"/>
      <c r="EB157" s="13"/>
    </row>
    <row r="158" spans="1:132" s="2" customFormat="1">
      <c r="A158" s="36"/>
      <c r="B158" s="55" t="s">
        <v>192</v>
      </c>
      <c r="C158" s="486">
        <f t="shared" si="1"/>
        <v>162.08864691507392</v>
      </c>
      <c r="D158" s="487"/>
      <c r="E158" s="52">
        <f t="shared" si="2"/>
        <v>24</v>
      </c>
      <c r="F158" s="53">
        <f t="shared" si="3"/>
        <v>16.070328845760358</v>
      </c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CR158" s="13"/>
      <c r="CS158" s="13"/>
      <c r="CT158" s="13"/>
      <c r="CU158" s="13"/>
      <c r="CV158" s="13"/>
      <c r="CW158" s="13"/>
      <c r="CX158" s="13"/>
      <c r="CY158" s="13"/>
      <c r="CZ158" s="13"/>
      <c r="DA158" s="13"/>
      <c r="DB158" s="13"/>
      <c r="DC158" s="13"/>
      <c r="DD158" s="13"/>
      <c r="DE158" s="13"/>
      <c r="DF158" s="13"/>
      <c r="DG158" s="13"/>
      <c r="DH158" s="13"/>
      <c r="DI158" s="13"/>
      <c r="DJ158" s="13"/>
      <c r="DK158" s="13"/>
      <c r="DL158" s="13"/>
      <c r="DM158" s="13"/>
      <c r="DN158" s="13"/>
      <c r="DO158" s="13"/>
      <c r="DP158" s="13"/>
      <c r="DQ158" s="13"/>
      <c r="DR158" s="13"/>
      <c r="DS158" s="13"/>
      <c r="DT158" s="13"/>
      <c r="DU158" s="14"/>
      <c r="DV158" s="13"/>
      <c r="DW158" s="13"/>
      <c r="DX158" s="13"/>
      <c r="DY158" s="13"/>
      <c r="DZ158" s="13"/>
      <c r="EA158" s="13"/>
      <c r="EB158" s="13"/>
    </row>
    <row r="159" spans="1:132" s="2" customFormat="1">
      <c r="A159" s="36"/>
      <c r="B159" s="55" t="s">
        <v>193</v>
      </c>
      <c r="C159" s="486" t="str">
        <f t="shared" si="1"/>
        <v/>
      </c>
      <c r="D159" s="487"/>
      <c r="E159" s="52" t="str">
        <f t="shared" si="2"/>
        <v/>
      </c>
      <c r="F159" s="53" t="str">
        <f t="shared" si="3"/>
        <v/>
      </c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CR159" s="13"/>
      <c r="CS159" s="13"/>
      <c r="CT159" s="13"/>
      <c r="CU159" s="13"/>
      <c r="CV159" s="13"/>
      <c r="CW159" s="13"/>
      <c r="CX159" s="13"/>
      <c r="CY159" s="13"/>
      <c r="CZ159" s="13"/>
      <c r="DA159" s="13"/>
      <c r="DB159" s="13"/>
      <c r="DC159" s="13"/>
      <c r="DD159" s="13"/>
      <c r="DE159" s="13"/>
      <c r="DF159" s="13"/>
      <c r="DG159" s="13"/>
      <c r="DH159" s="13"/>
      <c r="DI159" s="13"/>
      <c r="DJ159" s="13"/>
      <c r="DK159" s="13"/>
      <c r="DL159" s="13"/>
      <c r="DM159" s="13"/>
      <c r="DN159" s="13"/>
      <c r="DO159" s="13"/>
      <c r="DP159" s="13"/>
      <c r="DQ159" s="13"/>
      <c r="DR159" s="13"/>
      <c r="DS159" s="13"/>
      <c r="DT159" s="13"/>
      <c r="DU159" s="14"/>
      <c r="DV159" s="13"/>
      <c r="DW159" s="13"/>
      <c r="DX159" s="13"/>
      <c r="DY159" s="13"/>
      <c r="DZ159" s="13"/>
      <c r="EA159" s="13"/>
      <c r="EB159" s="13"/>
    </row>
    <row r="160" spans="1:132" s="2" customFormat="1">
      <c r="A160" s="36"/>
      <c r="B160" s="55" t="s">
        <v>194</v>
      </c>
      <c r="C160" s="486" t="str">
        <f t="shared" si="1"/>
        <v/>
      </c>
      <c r="D160" s="487"/>
      <c r="E160" s="52" t="str">
        <f t="shared" si="2"/>
        <v/>
      </c>
      <c r="F160" s="53" t="str">
        <f t="shared" si="3"/>
        <v/>
      </c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CR160" s="13"/>
      <c r="CS160" s="13"/>
      <c r="CT160" s="13"/>
      <c r="CU160" s="13"/>
      <c r="CV160" s="13"/>
      <c r="CW160" s="13"/>
      <c r="CX160" s="13"/>
      <c r="CY160" s="13"/>
      <c r="CZ160" s="13"/>
      <c r="DA160" s="13"/>
      <c r="DB160" s="13"/>
      <c r="DC160" s="13"/>
      <c r="DD160" s="13"/>
      <c r="DE160" s="13"/>
      <c r="DF160" s="13"/>
      <c r="DG160" s="13"/>
      <c r="DH160" s="13"/>
      <c r="DI160" s="13"/>
      <c r="DJ160" s="13"/>
      <c r="DK160" s="13"/>
      <c r="DL160" s="13"/>
      <c r="DM160" s="13"/>
      <c r="DN160" s="13"/>
      <c r="DO160" s="13"/>
      <c r="DP160" s="13"/>
      <c r="DQ160" s="13"/>
      <c r="DR160" s="13"/>
      <c r="DS160" s="13"/>
      <c r="DT160" s="13"/>
      <c r="DU160" s="14"/>
      <c r="DV160" s="13"/>
      <c r="DW160" s="13"/>
      <c r="DX160" s="13"/>
      <c r="DY160" s="13"/>
      <c r="DZ160" s="13"/>
      <c r="EA160" s="13"/>
      <c r="EB160" s="13"/>
    </row>
    <row r="161" spans="1:133" s="2" customFormat="1">
      <c r="A161" s="36"/>
      <c r="B161" s="55" t="s">
        <v>195</v>
      </c>
      <c r="C161" s="486" t="str">
        <f t="shared" si="1"/>
        <v/>
      </c>
      <c r="D161" s="487"/>
      <c r="E161" s="52" t="str">
        <f t="shared" si="2"/>
        <v/>
      </c>
      <c r="F161" s="53" t="str">
        <f t="shared" si="3"/>
        <v/>
      </c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CR161" s="13"/>
      <c r="CS161" s="13"/>
      <c r="CT161" s="13"/>
      <c r="CU161" s="13"/>
      <c r="CV161" s="13"/>
      <c r="CW161" s="13"/>
      <c r="CX161" s="13"/>
      <c r="CY161" s="13"/>
      <c r="CZ161" s="13"/>
      <c r="DA161" s="13"/>
      <c r="DB161" s="13"/>
      <c r="DC161" s="13"/>
      <c r="DD161" s="13"/>
      <c r="DE161" s="13"/>
      <c r="DF161" s="13"/>
      <c r="DG161" s="13"/>
      <c r="DH161" s="13"/>
      <c r="DI161" s="13"/>
      <c r="DJ161" s="13"/>
      <c r="DK161" s="13"/>
      <c r="DL161" s="13"/>
      <c r="DM161" s="13"/>
      <c r="DN161" s="13"/>
      <c r="DO161" s="13"/>
      <c r="DP161" s="13"/>
      <c r="DQ161" s="13"/>
      <c r="DR161" s="13"/>
      <c r="DS161" s="13"/>
      <c r="DT161" s="13"/>
      <c r="DU161" s="14"/>
      <c r="DV161" s="13"/>
      <c r="DW161" s="13"/>
      <c r="DX161" s="13"/>
      <c r="DY161" s="13"/>
      <c r="DZ161" s="13"/>
      <c r="EA161" s="13"/>
      <c r="EB161" s="13"/>
    </row>
    <row r="162" spans="1:133" s="2" customFormat="1">
      <c r="A162" s="36"/>
      <c r="B162" s="55" t="s">
        <v>196</v>
      </c>
      <c r="C162" s="486">
        <f t="shared" si="1"/>
        <v>184.2674476431574</v>
      </c>
      <c r="D162" s="487"/>
      <c r="E162" s="52">
        <f t="shared" si="2"/>
        <v>65</v>
      </c>
      <c r="F162" s="53">
        <f t="shared" si="3"/>
        <v>17.542688799060215</v>
      </c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CR162" s="13"/>
      <c r="CS162" s="13"/>
      <c r="CT162" s="13"/>
      <c r="CU162" s="13"/>
      <c r="CV162" s="13"/>
      <c r="CW162" s="13"/>
      <c r="CX162" s="13"/>
      <c r="CY162" s="13"/>
      <c r="CZ162" s="13"/>
      <c r="DA162" s="13"/>
      <c r="DB162" s="13"/>
      <c r="DC162" s="13"/>
      <c r="DD162" s="13"/>
      <c r="DE162" s="13"/>
      <c r="DF162" s="13"/>
      <c r="DG162" s="13"/>
      <c r="DH162" s="13"/>
      <c r="DI162" s="13"/>
      <c r="DJ162" s="13"/>
      <c r="DK162" s="13"/>
      <c r="DL162" s="13"/>
      <c r="DM162" s="13"/>
      <c r="DN162" s="13"/>
      <c r="DO162" s="13"/>
      <c r="DP162" s="13"/>
      <c r="DQ162" s="13"/>
      <c r="DR162" s="13"/>
      <c r="DS162" s="13"/>
      <c r="DT162" s="13"/>
      <c r="DU162" s="14"/>
      <c r="DV162" s="13"/>
      <c r="DW162" s="13"/>
      <c r="DX162" s="13"/>
      <c r="DY162" s="13"/>
      <c r="DZ162" s="13"/>
      <c r="EA162" s="13"/>
      <c r="EB162" s="13"/>
    </row>
    <row r="163" spans="1:133" s="2" customFormat="1">
      <c r="A163" s="36"/>
      <c r="B163" s="55" t="s">
        <v>197</v>
      </c>
      <c r="C163" s="486" t="str">
        <f t="shared" si="1"/>
        <v/>
      </c>
      <c r="D163" s="487"/>
      <c r="E163" s="52" t="str">
        <f t="shared" si="2"/>
        <v/>
      </c>
      <c r="F163" s="53" t="str">
        <f t="shared" si="3"/>
        <v/>
      </c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CR163" s="13"/>
      <c r="CS163" s="13"/>
      <c r="CT163" s="13"/>
      <c r="CU163" s="13"/>
      <c r="CV163" s="13"/>
      <c r="CW163" s="13"/>
      <c r="CX163" s="13"/>
      <c r="CY163" s="13"/>
      <c r="CZ163" s="13"/>
      <c r="DA163" s="13"/>
      <c r="DB163" s="13"/>
      <c r="DC163" s="13"/>
      <c r="DD163" s="13"/>
      <c r="DE163" s="13"/>
      <c r="DF163" s="13"/>
      <c r="DG163" s="13"/>
      <c r="DH163" s="13"/>
      <c r="DI163" s="13"/>
      <c r="DJ163" s="13"/>
      <c r="DK163" s="13"/>
      <c r="DL163" s="13"/>
      <c r="DM163" s="13"/>
      <c r="DN163" s="13"/>
      <c r="DO163" s="13"/>
      <c r="DP163" s="13"/>
      <c r="DQ163" s="13"/>
      <c r="DR163" s="13"/>
      <c r="DS163" s="13"/>
      <c r="DT163" s="13"/>
      <c r="DU163" s="14"/>
      <c r="DV163" s="13"/>
      <c r="DW163" s="13"/>
      <c r="DX163" s="13"/>
      <c r="DY163" s="13"/>
      <c r="DZ163" s="13"/>
      <c r="EA163" s="13"/>
      <c r="EB163" s="13"/>
    </row>
    <row r="164" spans="1:133" s="2" customFormat="1">
      <c r="A164" s="36"/>
      <c r="B164" s="55" t="s">
        <v>198</v>
      </c>
      <c r="C164" s="486" t="str">
        <f t="shared" si="1"/>
        <v/>
      </c>
      <c r="D164" s="487"/>
      <c r="E164" s="52" t="str">
        <f t="shared" si="2"/>
        <v/>
      </c>
      <c r="F164" s="53" t="str">
        <f t="shared" si="3"/>
        <v/>
      </c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CR164" s="13"/>
      <c r="CS164" s="13"/>
      <c r="CT164" s="13"/>
      <c r="CU164" s="13"/>
      <c r="CV164" s="13"/>
      <c r="CW164" s="13"/>
      <c r="CX164" s="13"/>
      <c r="CY164" s="13"/>
      <c r="CZ164" s="13"/>
      <c r="DA164" s="13"/>
      <c r="DB164" s="13"/>
      <c r="DC164" s="13"/>
      <c r="DD164" s="13"/>
      <c r="DE164" s="13"/>
      <c r="DF164" s="13"/>
      <c r="DG164" s="13"/>
      <c r="DH164" s="13"/>
      <c r="DI164" s="13"/>
      <c r="DJ164" s="13"/>
      <c r="DK164" s="13"/>
      <c r="DL164" s="13"/>
      <c r="DM164" s="13"/>
      <c r="DN164" s="13"/>
      <c r="DO164" s="13"/>
      <c r="DP164" s="13"/>
      <c r="DQ164" s="13"/>
      <c r="DR164" s="13"/>
      <c r="DS164" s="13"/>
      <c r="DT164" s="13"/>
      <c r="DU164" s="14"/>
      <c r="DV164" s="13"/>
      <c r="DW164" s="13"/>
      <c r="DX164" s="13"/>
      <c r="DY164" s="13"/>
      <c r="DZ164" s="13"/>
      <c r="EA164" s="13"/>
      <c r="EB164" s="13"/>
    </row>
    <row r="165" spans="1:133" s="2" customFormat="1">
      <c r="A165" s="36"/>
      <c r="B165" s="55" t="s">
        <v>199</v>
      </c>
      <c r="C165" s="486" t="str">
        <f t="shared" si="1"/>
        <v/>
      </c>
      <c r="D165" s="487"/>
      <c r="E165" s="52" t="str">
        <f t="shared" si="2"/>
        <v/>
      </c>
      <c r="F165" s="53" t="str">
        <f t="shared" si="3"/>
        <v/>
      </c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CR165" s="13"/>
      <c r="CS165" s="13"/>
      <c r="CT165" s="13"/>
      <c r="CU165" s="13"/>
      <c r="CV165" s="13"/>
      <c r="CW165" s="13"/>
      <c r="CX165" s="13"/>
      <c r="CY165" s="13"/>
      <c r="CZ165" s="13"/>
      <c r="DA165" s="13"/>
      <c r="DB165" s="13"/>
      <c r="DC165" s="13"/>
      <c r="DD165" s="13"/>
      <c r="DE165" s="13"/>
      <c r="DF165" s="13"/>
      <c r="DG165" s="13"/>
      <c r="DH165" s="13"/>
      <c r="DI165" s="13"/>
      <c r="DJ165" s="13"/>
      <c r="DK165" s="13"/>
      <c r="DL165" s="13"/>
      <c r="DM165" s="13"/>
      <c r="DN165" s="13"/>
      <c r="DO165" s="13"/>
      <c r="DP165" s="13"/>
      <c r="DQ165" s="13"/>
      <c r="DR165" s="13"/>
      <c r="DS165" s="13"/>
      <c r="DT165" s="13"/>
      <c r="DU165" s="14"/>
      <c r="DV165" s="13"/>
      <c r="DW165" s="13"/>
      <c r="DX165" s="13"/>
      <c r="DY165" s="13"/>
      <c r="DZ165" s="13"/>
      <c r="EA165" s="13"/>
      <c r="EB165" s="13"/>
    </row>
    <row r="166" spans="1:133" s="2" customFormat="1">
      <c r="A166" s="36"/>
      <c r="B166" s="55" t="s">
        <v>200</v>
      </c>
      <c r="C166" s="486">
        <f t="shared" si="1"/>
        <v>189.58387418230873</v>
      </c>
      <c r="D166" s="487"/>
      <c r="E166" s="52">
        <f t="shared" si="2"/>
        <v>36</v>
      </c>
      <c r="F166" s="53">
        <f t="shared" si="3"/>
        <v>30.837224517043751</v>
      </c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CR166" s="13"/>
      <c r="CS166" s="13"/>
      <c r="CT166" s="13"/>
      <c r="CU166" s="13"/>
      <c r="CV166" s="13"/>
      <c r="CW166" s="13"/>
      <c r="CX166" s="13"/>
      <c r="CY166" s="13"/>
      <c r="CZ166" s="13"/>
      <c r="DA166" s="13"/>
      <c r="DB166" s="13"/>
      <c r="DC166" s="13"/>
      <c r="DD166" s="13"/>
      <c r="DE166" s="13"/>
      <c r="DF166" s="13"/>
      <c r="DG166" s="13"/>
      <c r="DH166" s="13"/>
      <c r="DI166" s="13"/>
      <c r="DJ166" s="13"/>
      <c r="DK166" s="13"/>
      <c r="DL166" s="13"/>
      <c r="DM166" s="13"/>
      <c r="DN166" s="13"/>
      <c r="DO166" s="13"/>
      <c r="DP166" s="13"/>
      <c r="DQ166" s="13"/>
      <c r="DR166" s="13"/>
      <c r="DS166" s="13"/>
      <c r="DT166" s="13"/>
      <c r="DU166" s="14"/>
      <c r="DV166" s="13"/>
      <c r="DW166" s="13"/>
      <c r="DX166" s="13"/>
      <c r="DY166" s="13"/>
      <c r="DZ166" s="13"/>
      <c r="EA166" s="13"/>
      <c r="EB166" s="13"/>
    </row>
    <row r="167" spans="1:133" s="2" customFormat="1">
      <c r="A167" s="36"/>
      <c r="B167" s="55" t="s">
        <v>248</v>
      </c>
      <c r="C167" s="486" t="str">
        <f t="shared" si="1"/>
        <v/>
      </c>
      <c r="D167" s="487"/>
      <c r="E167" s="52" t="str">
        <f t="shared" si="2"/>
        <v/>
      </c>
      <c r="F167" s="53" t="str">
        <f t="shared" si="3"/>
        <v/>
      </c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CR167" s="13"/>
      <c r="CS167" s="13"/>
      <c r="CT167" s="13"/>
      <c r="CU167" s="13"/>
      <c r="CV167" s="13"/>
      <c r="CW167" s="13"/>
      <c r="CX167" s="13"/>
      <c r="CY167" s="13"/>
      <c r="CZ167" s="13"/>
      <c r="DA167" s="13"/>
      <c r="DB167" s="13"/>
      <c r="DC167" s="13"/>
      <c r="DD167" s="13"/>
      <c r="DE167" s="13"/>
      <c r="DF167" s="13"/>
      <c r="DG167" s="13"/>
      <c r="DH167" s="13"/>
      <c r="DI167" s="13"/>
      <c r="DJ167" s="13"/>
      <c r="DK167" s="13"/>
      <c r="DL167" s="13"/>
      <c r="DM167" s="13"/>
      <c r="DN167" s="13"/>
      <c r="DO167" s="13"/>
      <c r="DP167" s="13"/>
      <c r="DQ167" s="13"/>
      <c r="DR167" s="13"/>
      <c r="DS167" s="13"/>
      <c r="DT167" s="13"/>
      <c r="DU167" s="14"/>
      <c r="DV167" s="13"/>
      <c r="DW167" s="13"/>
      <c r="DX167" s="13"/>
      <c r="DY167" s="13"/>
      <c r="DZ167" s="13"/>
      <c r="EA167" s="13"/>
      <c r="EB167" s="13"/>
    </row>
    <row r="168" spans="1:133" s="2" customFormat="1">
      <c r="A168" s="36"/>
      <c r="B168" s="55" t="s">
        <v>201</v>
      </c>
      <c r="C168" s="486">
        <f t="shared" si="1"/>
        <v>35.363800176344</v>
      </c>
      <c r="D168" s="487"/>
      <c r="E168" s="52">
        <f t="shared" si="2"/>
        <v>23</v>
      </c>
      <c r="F168" s="53">
        <f t="shared" si="3"/>
        <v>16.531641554609848</v>
      </c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CR168" s="13"/>
      <c r="CS168" s="13"/>
      <c r="CT168" s="13"/>
      <c r="CU168" s="13"/>
      <c r="CV168" s="13"/>
      <c r="CW168" s="13"/>
      <c r="CX168" s="13"/>
      <c r="CY168" s="13"/>
      <c r="CZ168" s="13"/>
      <c r="DA168" s="13"/>
      <c r="DB168" s="13"/>
      <c r="DC168" s="13"/>
      <c r="DD168" s="13"/>
      <c r="DE168" s="13"/>
      <c r="DF168" s="13"/>
      <c r="DG168" s="13"/>
      <c r="DH168" s="13"/>
      <c r="DI168" s="13"/>
      <c r="DJ168" s="13"/>
      <c r="DK168" s="13"/>
      <c r="DL168" s="13"/>
      <c r="DM168" s="13"/>
      <c r="DN168" s="13"/>
      <c r="DO168" s="13"/>
      <c r="DP168" s="13"/>
      <c r="DQ168" s="13"/>
      <c r="DR168" s="13"/>
      <c r="DS168" s="13"/>
      <c r="DT168" s="13"/>
      <c r="DU168" s="14"/>
      <c r="DV168" s="13"/>
      <c r="DW168" s="13"/>
      <c r="DX168" s="13"/>
      <c r="DY168" s="13"/>
      <c r="DZ168" s="13"/>
      <c r="EA168" s="13"/>
      <c r="EB168" s="13"/>
    </row>
    <row r="169" spans="1:133" s="2" customFormat="1">
      <c r="A169" s="36"/>
      <c r="B169" s="55" t="s">
        <v>202</v>
      </c>
      <c r="C169" s="486">
        <f t="shared" si="1"/>
        <v>181.82362637726649</v>
      </c>
      <c r="D169" s="487"/>
      <c r="E169" s="52">
        <f t="shared" si="2"/>
        <v>15</v>
      </c>
      <c r="F169" s="53">
        <f t="shared" si="3"/>
        <v>39.269031378390764</v>
      </c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CR169" s="13"/>
      <c r="CS169" s="13"/>
      <c r="CT169" s="13"/>
      <c r="CU169" s="13"/>
      <c r="CV169" s="13"/>
      <c r="CW169" s="13"/>
      <c r="CX169" s="13"/>
      <c r="CY169" s="13"/>
      <c r="CZ169" s="13"/>
      <c r="DA169" s="13"/>
      <c r="DB169" s="13"/>
      <c r="DC169" s="13"/>
      <c r="DD169" s="13"/>
      <c r="DE169" s="13"/>
      <c r="DF169" s="13"/>
      <c r="DG169" s="13"/>
      <c r="DH169" s="13"/>
      <c r="DI169" s="13"/>
      <c r="DJ169" s="13"/>
      <c r="DK169" s="13"/>
      <c r="DL169" s="13"/>
      <c r="DM169" s="13"/>
      <c r="DN169" s="13"/>
      <c r="DO169" s="13"/>
      <c r="DP169" s="13"/>
      <c r="DQ169" s="13"/>
      <c r="DR169" s="13"/>
      <c r="DS169" s="13"/>
      <c r="DT169" s="13"/>
      <c r="DU169" s="14"/>
      <c r="DV169" s="13"/>
      <c r="DW169" s="13"/>
      <c r="DX169" s="13"/>
      <c r="DY169" s="13"/>
      <c r="DZ169" s="13"/>
      <c r="EA169" s="13"/>
      <c r="EB169" s="13"/>
    </row>
    <row r="170" spans="1:133" s="2" customFormat="1">
      <c r="A170" s="36"/>
      <c r="B170" s="55" t="s">
        <v>203</v>
      </c>
      <c r="C170" s="486" t="str">
        <f t="shared" si="1"/>
        <v/>
      </c>
      <c r="D170" s="487"/>
      <c r="E170" s="52" t="str">
        <f t="shared" si="2"/>
        <v/>
      </c>
      <c r="F170" s="53" t="str">
        <f t="shared" si="3"/>
        <v/>
      </c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CR170" s="13"/>
      <c r="CS170" s="13"/>
      <c r="CT170" s="13"/>
      <c r="CU170" s="13"/>
      <c r="CV170" s="13"/>
      <c r="CW170" s="13"/>
      <c r="CX170" s="13"/>
      <c r="CY170" s="13"/>
      <c r="CZ170" s="13"/>
      <c r="DA170" s="13"/>
      <c r="DB170" s="13"/>
      <c r="DC170" s="13"/>
      <c r="DD170" s="13"/>
      <c r="DE170" s="13"/>
      <c r="DF170" s="13"/>
      <c r="DG170" s="13"/>
      <c r="DH170" s="13"/>
      <c r="DI170" s="13"/>
      <c r="DJ170" s="13"/>
      <c r="DK170" s="13"/>
      <c r="DL170" s="13"/>
      <c r="DM170" s="13"/>
      <c r="DN170" s="13"/>
      <c r="DO170" s="13"/>
      <c r="DP170" s="13"/>
      <c r="DQ170" s="13"/>
      <c r="DR170" s="13"/>
      <c r="DS170" s="13"/>
      <c r="DT170" s="13"/>
      <c r="DU170" s="14"/>
      <c r="DV170" s="13"/>
      <c r="DW170" s="13"/>
      <c r="DX170" s="13"/>
      <c r="DY170" s="13"/>
      <c r="DZ170" s="13"/>
      <c r="EA170" s="13"/>
      <c r="EB170" s="13"/>
    </row>
    <row r="171" spans="1:133" s="2" customFormat="1">
      <c r="A171" s="36"/>
      <c r="B171" s="55" t="s">
        <v>204</v>
      </c>
      <c r="C171" s="486">
        <f t="shared" si="1"/>
        <v>244.92824249213581</v>
      </c>
      <c r="D171" s="487"/>
      <c r="E171" s="52">
        <f t="shared" si="2"/>
        <v>12</v>
      </c>
      <c r="F171" s="53">
        <f t="shared" si="3"/>
        <v>45.007901719108681</v>
      </c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CR171" s="13"/>
      <c r="CS171" s="13"/>
      <c r="CT171" s="13"/>
      <c r="CU171" s="13"/>
      <c r="CV171" s="13"/>
      <c r="CW171" s="13"/>
      <c r="CX171" s="13"/>
      <c r="CY171" s="13"/>
      <c r="CZ171" s="13"/>
      <c r="DA171" s="13"/>
      <c r="DB171" s="13"/>
      <c r="DC171" s="13"/>
      <c r="DD171" s="13"/>
      <c r="DE171" s="13"/>
      <c r="DF171" s="13"/>
      <c r="DG171" s="13"/>
      <c r="DH171" s="13"/>
      <c r="DI171" s="13"/>
      <c r="DJ171" s="13"/>
      <c r="DK171" s="13"/>
      <c r="DL171" s="13"/>
      <c r="DM171" s="13"/>
      <c r="DN171" s="13"/>
      <c r="DO171" s="13"/>
      <c r="DP171" s="13"/>
      <c r="DQ171" s="13"/>
      <c r="DR171" s="13"/>
      <c r="DS171" s="13"/>
      <c r="DT171" s="13"/>
      <c r="DU171" s="14"/>
      <c r="DV171" s="13"/>
      <c r="DW171" s="13"/>
      <c r="DX171" s="13"/>
      <c r="DY171" s="13"/>
      <c r="DZ171" s="13"/>
      <c r="EA171" s="13"/>
      <c r="EB171" s="13"/>
    </row>
    <row r="172" spans="1:133" s="2" customFormat="1">
      <c r="A172" s="36"/>
      <c r="B172" s="55" t="s">
        <v>215</v>
      </c>
      <c r="C172" s="486" t="str">
        <f t="shared" si="1"/>
        <v/>
      </c>
      <c r="D172" s="487"/>
      <c r="E172" s="52" t="str">
        <f t="shared" si="2"/>
        <v/>
      </c>
      <c r="F172" s="53" t="str">
        <f t="shared" si="3"/>
        <v/>
      </c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CR172" s="13"/>
      <c r="CS172" s="13"/>
      <c r="CT172" s="13"/>
      <c r="CU172" s="13"/>
      <c r="CV172" s="13"/>
      <c r="CW172" s="13"/>
      <c r="CX172" s="13"/>
      <c r="CY172" s="13"/>
      <c r="CZ172" s="13"/>
      <c r="DA172" s="13"/>
      <c r="DB172" s="13"/>
      <c r="DC172" s="13"/>
      <c r="DD172" s="13"/>
      <c r="DE172" s="13"/>
      <c r="DF172" s="13"/>
      <c r="DG172" s="13"/>
      <c r="DH172" s="13"/>
      <c r="DI172" s="13"/>
      <c r="DJ172" s="13"/>
      <c r="DK172" s="13"/>
      <c r="DL172" s="13"/>
      <c r="DM172" s="13"/>
      <c r="DN172" s="13"/>
      <c r="DO172" s="13"/>
      <c r="DP172" s="13"/>
      <c r="DQ172" s="13"/>
      <c r="DR172" s="13"/>
      <c r="DS172" s="13"/>
      <c r="DT172" s="13"/>
      <c r="DU172" s="14"/>
      <c r="DV172" s="13"/>
      <c r="DW172" s="13"/>
      <c r="DX172" s="13"/>
      <c r="DY172" s="13"/>
      <c r="DZ172" s="13"/>
      <c r="EA172" s="13"/>
      <c r="EB172" s="13"/>
    </row>
    <row r="173" spans="1:133" s="2" customFormat="1">
      <c r="A173" s="36"/>
      <c r="B173" s="55" t="s">
        <v>205</v>
      </c>
      <c r="C173" s="486">
        <f t="shared" si="1"/>
        <v>77.345326064005619</v>
      </c>
      <c r="D173" s="487"/>
      <c r="E173" s="52">
        <f t="shared" si="2"/>
        <v>79</v>
      </c>
      <c r="F173" s="53">
        <f t="shared" si="3"/>
        <v>5.8453890768083738</v>
      </c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CR173" s="13"/>
      <c r="CS173" s="13"/>
      <c r="CT173" s="13"/>
      <c r="CU173" s="13"/>
      <c r="CV173" s="13"/>
      <c r="CW173" s="13"/>
      <c r="CX173" s="13"/>
      <c r="CY173" s="13"/>
      <c r="CZ173" s="13"/>
      <c r="DA173" s="13"/>
      <c r="DB173" s="13"/>
      <c r="DC173" s="13"/>
      <c r="DD173" s="13"/>
      <c r="DE173" s="13"/>
      <c r="DF173" s="13"/>
      <c r="DG173" s="13"/>
      <c r="DH173" s="13"/>
      <c r="DI173" s="13"/>
      <c r="DJ173" s="13"/>
      <c r="DK173" s="13"/>
      <c r="DL173" s="13"/>
      <c r="DM173" s="13"/>
      <c r="DN173" s="13"/>
      <c r="DO173" s="13"/>
      <c r="DP173" s="13"/>
      <c r="DQ173" s="13"/>
      <c r="DR173" s="13"/>
      <c r="DS173" s="13"/>
      <c r="DT173" s="13"/>
      <c r="DU173" s="14"/>
      <c r="DV173" s="13"/>
      <c r="DW173" s="13"/>
      <c r="DX173" s="13"/>
      <c r="DY173" s="13"/>
      <c r="DZ173" s="13"/>
      <c r="EA173" s="13"/>
      <c r="EB173" s="13"/>
    </row>
    <row r="174" spans="1:133" s="2" customFormat="1">
      <c r="A174" s="36"/>
      <c r="B174" s="55" t="s">
        <v>240</v>
      </c>
      <c r="C174" s="486" t="str">
        <f t="shared" si="1"/>
        <v/>
      </c>
      <c r="D174" s="487"/>
      <c r="E174" s="52" t="str">
        <f t="shared" si="2"/>
        <v/>
      </c>
      <c r="F174" s="53" t="str">
        <f t="shared" si="3"/>
        <v/>
      </c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CR174" s="13"/>
      <c r="CS174" s="13"/>
      <c r="CT174" s="13"/>
      <c r="CU174" s="13"/>
      <c r="CV174" s="13"/>
      <c r="CW174" s="13"/>
      <c r="CX174" s="13"/>
      <c r="CY174" s="13"/>
      <c r="CZ174" s="13"/>
      <c r="DA174" s="13"/>
      <c r="DB174" s="13"/>
      <c r="DC174" s="13"/>
      <c r="DD174" s="13"/>
      <c r="DE174" s="13"/>
      <c r="DF174" s="13"/>
      <c r="DG174" s="13"/>
      <c r="DH174" s="13"/>
      <c r="DI174" s="13"/>
      <c r="DJ174" s="13"/>
      <c r="DK174" s="13"/>
      <c r="DL174" s="13"/>
      <c r="DM174" s="13"/>
      <c r="DN174" s="13"/>
      <c r="DO174" s="13"/>
      <c r="DP174" s="13"/>
      <c r="DQ174" s="13"/>
      <c r="DR174" s="13"/>
      <c r="DS174" s="13"/>
      <c r="DT174" s="13"/>
      <c r="DU174" s="14"/>
      <c r="DV174" s="13"/>
      <c r="DW174" s="13"/>
      <c r="DX174" s="13"/>
      <c r="DY174" s="13"/>
      <c r="DZ174" s="13"/>
      <c r="EA174" s="13"/>
      <c r="EB174" s="13"/>
    </row>
    <row r="175" spans="1:133" s="2" customFormat="1">
      <c r="A175" s="36"/>
      <c r="B175" s="56" t="s">
        <v>206</v>
      </c>
      <c r="C175" s="488">
        <f t="shared" si="1"/>
        <v>225.27548031926227</v>
      </c>
      <c r="D175" s="489"/>
      <c r="E175" s="57">
        <f t="shared" si="2"/>
        <v>23</v>
      </c>
      <c r="F175" s="58">
        <f t="shared" si="3"/>
        <v>7.5480065203306168</v>
      </c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CR175" s="13"/>
      <c r="CS175" s="13"/>
      <c r="CT175" s="13"/>
      <c r="CU175" s="13"/>
      <c r="CV175" s="13"/>
      <c r="CW175" s="13"/>
      <c r="CX175" s="13"/>
      <c r="CY175" s="13"/>
      <c r="CZ175" s="13"/>
      <c r="DA175" s="13"/>
      <c r="DB175" s="13"/>
      <c r="DC175" s="13"/>
      <c r="DD175" s="13"/>
      <c r="DE175" s="13"/>
      <c r="DF175" s="13"/>
      <c r="DG175" s="13"/>
      <c r="DH175" s="13"/>
      <c r="DI175" s="13"/>
      <c r="DJ175" s="13"/>
      <c r="DK175" s="13"/>
      <c r="DL175" s="13"/>
      <c r="DM175" s="13"/>
      <c r="DN175" s="13"/>
      <c r="DO175" s="13"/>
      <c r="DP175" s="13"/>
      <c r="DQ175" s="13"/>
      <c r="DR175" s="13"/>
      <c r="DS175" s="13"/>
      <c r="DT175" s="13"/>
      <c r="DU175" s="14"/>
      <c r="DV175" s="13"/>
      <c r="DW175" s="13"/>
      <c r="DX175" s="13"/>
      <c r="DY175" s="13"/>
      <c r="DZ175" s="13"/>
      <c r="EA175" s="13"/>
      <c r="EB175" s="13"/>
    </row>
    <row r="176" spans="1:133" s="2" customFormat="1">
      <c r="A176" s="36"/>
      <c r="B176" s="36"/>
      <c r="C176" s="38"/>
      <c r="D176" s="38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CS176" s="13"/>
      <c r="CT176" s="13"/>
      <c r="CU176" s="13"/>
      <c r="CV176" s="13"/>
      <c r="CW176" s="13"/>
      <c r="CX176" s="13"/>
      <c r="CY176" s="13"/>
      <c r="CZ176" s="13"/>
      <c r="DA176" s="13"/>
      <c r="DB176" s="13"/>
      <c r="DC176" s="13"/>
      <c r="DD176" s="13"/>
      <c r="DE176" s="13"/>
      <c r="DF176" s="13"/>
      <c r="DG176" s="13"/>
      <c r="DH176" s="13"/>
      <c r="DI176" s="13"/>
      <c r="DJ176" s="13"/>
      <c r="DK176" s="13"/>
      <c r="DL176" s="13"/>
      <c r="DM176" s="13"/>
      <c r="DN176" s="13"/>
      <c r="DO176" s="13"/>
      <c r="DP176" s="13"/>
      <c r="DQ176" s="13"/>
      <c r="DR176" s="13"/>
      <c r="DS176" s="13"/>
      <c r="DT176" s="13"/>
      <c r="DU176" s="13"/>
      <c r="DV176" s="14"/>
      <c r="DW176" s="13"/>
      <c r="DX176" s="13"/>
      <c r="DY176" s="13"/>
      <c r="DZ176" s="13"/>
      <c r="EA176" s="13"/>
      <c r="EB176" s="13"/>
      <c r="EC176" s="13"/>
    </row>
    <row r="177" spans="2:245" s="2" customFormat="1" ht="15" customHeight="1">
      <c r="C177" s="1"/>
      <c r="D177" s="1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CS177" s="13"/>
      <c r="CT177" s="13"/>
      <c r="CU177" s="13"/>
      <c r="CV177" s="13"/>
      <c r="CW177" s="13"/>
      <c r="CX177" s="13"/>
      <c r="CY177" s="13"/>
      <c r="CZ177" s="13"/>
      <c r="DA177" s="13"/>
      <c r="DB177" s="13"/>
      <c r="DC177" s="13"/>
      <c r="DD177" s="13"/>
      <c r="DE177" s="13"/>
      <c r="DF177" s="13"/>
      <c r="DG177" s="13"/>
      <c r="DH177" s="13"/>
      <c r="DI177" s="13"/>
      <c r="DJ177" s="13"/>
      <c r="DK177" s="13"/>
      <c r="DL177" s="13"/>
      <c r="DM177" s="13"/>
      <c r="DN177" s="13"/>
      <c r="DO177" s="13"/>
      <c r="DP177" s="13"/>
      <c r="DQ177" s="13"/>
      <c r="DR177" s="13"/>
      <c r="DS177" s="13"/>
      <c r="DT177" s="13"/>
      <c r="DU177" s="13"/>
      <c r="DV177" s="14"/>
      <c r="DW177" s="13"/>
      <c r="DX177" s="13"/>
      <c r="DY177" s="13"/>
      <c r="DZ177" s="13"/>
      <c r="EA177" s="13"/>
      <c r="EB177" s="13"/>
      <c r="EC177" s="13"/>
    </row>
    <row r="178" spans="2:245" s="2" customFormat="1" ht="15" customHeight="1">
      <c r="B178" s="1" t="s">
        <v>50</v>
      </c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CQ178" s="13"/>
      <c r="CR178" s="16"/>
      <c r="CS178" s="13"/>
      <c r="CW178" s="15"/>
      <c r="CX178" s="15"/>
      <c r="CY178" s="15"/>
      <c r="CZ178" s="15"/>
      <c r="DA178" s="15"/>
      <c r="DB178" s="15"/>
      <c r="DC178" s="15"/>
      <c r="DD178" s="15"/>
      <c r="DE178" s="15"/>
      <c r="DF178" s="15"/>
      <c r="DG178" s="15"/>
      <c r="DH178" s="15"/>
      <c r="DI178" s="15"/>
      <c r="DJ178" s="15"/>
      <c r="DK178" s="15"/>
      <c r="DL178" s="15"/>
      <c r="DM178" s="15"/>
      <c r="DN178" s="15"/>
      <c r="DO178" s="15"/>
      <c r="DP178" s="15"/>
      <c r="DQ178" s="10"/>
      <c r="DR178" s="10"/>
      <c r="DS178" s="10"/>
      <c r="DT178" s="10"/>
      <c r="DU178" s="10"/>
      <c r="DV178" s="10"/>
      <c r="DW178" s="10"/>
      <c r="DX178" s="10"/>
      <c r="DY178" s="10"/>
      <c r="DZ178" s="10"/>
      <c r="EA178" s="10"/>
      <c r="EB178" s="15"/>
      <c r="EC178" s="15"/>
      <c r="ED178" s="15"/>
      <c r="EE178" s="15"/>
      <c r="EF178" s="15"/>
      <c r="EG178" s="15"/>
      <c r="EH178" s="15"/>
      <c r="EI178" s="15"/>
      <c r="EJ178" s="15"/>
    </row>
    <row r="179" spans="2:245" s="2" customFormat="1" ht="15" customHeight="1"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501" t="s">
        <v>83</v>
      </c>
      <c r="AJ179" s="501"/>
      <c r="AK179" s="501"/>
      <c r="AL179" s="501"/>
      <c r="AM179" s="501"/>
      <c r="AN179" s="501"/>
      <c r="AO179" s="501"/>
      <c r="AP179" s="501"/>
      <c r="AQ179" s="501"/>
      <c r="AR179" s="501"/>
      <c r="AS179" s="501"/>
      <c r="AT179" s="501"/>
      <c r="AU179" s="501"/>
      <c r="AV179" s="501"/>
      <c r="AW179" s="501"/>
      <c r="AX179" s="501"/>
      <c r="AY179" s="501"/>
      <c r="AZ179" s="501"/>
      <c r="BA179" s="501"/>
      <c r="BB179" s="501"/>
      <c r="BC179" s="501"/>
      <c r="CQ179" s="13"/>
      <c r="CR179" s="13"/>
      <c r="CS179" s="13"/>
      <c r="CW179" s="15"/>
      <c r="CX179" s="15"/>
      <c r="CY179" s="15"/>
      <c r="CZ179" s="15"/>
      <c r="DA179" s="15"/>
      <c r="DB179" s="15"/>
      <c r="DC179" s="15"/>
      <c r="DD179" s="501" t="s">
        <v>234</v>
      </c>
      <c r="DE179" s="501"/>
      <c r="DF179" s="501"/>
      <c r="DG179" s="501"/>
      <c r="DH179" s="501"/>
      <c r="DI179" s="501"/>
      <c r="DJ179" s="501"/>
      <c r="DK179" s="501"/>
      <c r="DL179" s="501"/>
      <c r="DM179" s="501"/>
      <c r="DN179" s="501"/>
      <c r="DO179" s="501"/>
      <c r="DP179" s="501"/>
      <c r="DQ179" s="501"/>
      <c r="DR179" s="501"/>
      <c r="DS179" s="501"/>
      <c r="DT179" s="501"/>
      <c r="DU179" s="501"/>
      <c r="DV179" s="501"/>
      <c r="DW179" s="501"/>
      <c r="DX179" s="501"/>
      <c r="DY179" s="501"/>
      <c r="DZ179" s="501"/>
      <c r="EA179" s="501"/>
      <c r="EB179" s="501"/>
      <c r="EC179" s="501"/>
      <c r="ED179" s="501"/>
      <c r="EE179" s="501"/>
      <c r="EF179" s="501"/>
      <c r="EG179" s="501"/>
      <c r="EH179" s="501"/>
      <c r="EI179" s="501"/>
      <c r="EJ179" s="501"/>
      <c r="EK179" s="502" t="s">
        <v>240</v>
      </c>
      <c r="EL179" s="502"/>
      <c r="EM179" s="502"/>
      <c r="EN179" s="502"/>
      <c r="EO179" s="502"/>
      <c r="EP179" s="502"/>
      <c r="EQ179" s="502"/>
      <c r="ER179" s="502"/>
      <c r="ES179" s="502"/>
      <c r="ET179" s="502"/>
      <c r="EU179" s="502"/>
      <c r="EV179" s="502"/>
      <c r="EW179" s="502"/>
      <c r="EX179" s="502"/>
      <c r="EY179" s="502"/>
      <c r="EZ179" s="502"/>
      <c r="FA179" s="502"/>
      <c r="FB179" s="502"/>
      <c r="FC179" s="502"/>
      <c r="FD179" s="502"/>
      <c r="FE179" s="502"/>
      <c r="FF179" s="502"/>
      <c r="FG179" s="502"/>
      <c r="FH179" s="502"/>
      <c r="FI179" s="502"/>
      <c r="FJ179" s="502"/>
      <c r="FK179" s="502"/>
      <c r="FL179" s="502"/>
      <c r="FM179" s="502"/>
      <c r="FN179" s="502"/>
      <c r="FO179" s="502"/>
      <c r="FP179" s="502"/>
      <c r="FQ179" s="502"/>
      <c r="FR179" s="502" t="s">
        <v>242</v>
      </c>
      <c r="FS179" s="502"/>
      <c r="FT179" s="502"/>
      <c r="FU179" s="502"/>
      <c r="FV179" s="502"/>
      <c r="FW179" s="502"/>
      <c r="FX179" s="502"/>
      <c r="FY179" s="502"/>
      <c r="FZ179" s="502"/>
      <c r="GA179" s="502"/>
      <c r="GB179" s="502"/>
      <c r="GC179" s="502"/>
      <c r="GD179" s="502"/>
      <c r="GE179" s="502"/>
      <c r="GF179" s="502"/>
      <c r="GG179" s="502"/>
      <c r="GH179" s="502"/>
      <c r="GI179" s="502"/>
      <c r="GJ179" s="502"/>
      <c r="GK179" s="502"/>
      <c r="GL179" s="502"/>
      <c r="GM179" s="502"/>
      <c r="GN179" s="502"/>
      <c r="GO179" s="502"/>
      <c r="GP179" s="502"/>
      <c r="GQ179" s="502"/>
      <c r="GR179" s="502"/>
      <c r="GS179" s="502"/>
      <c r="GT179" s="502"/>
      <c r="GU179" s="502"/>
      <c r="GV179" s="502"/>
      <c r="GW179" s="502"/>
      <c r="GX179" s="502"/>
      <c r="GY179" s="502"/>
      <c r="GZ179" s="502"/>
    </row>
    <row r="180" spans="2:245" s="2" customFormat="1" ht="15" customHeight="1">
      <c r="C180" s="2" t="s">
        <v>208</v>
      </c>
      <c r="D180" s="18" t="s">
        <v>209</v>
      </c>
      <c r="E180" s="2" t="s">
        <v>213</v>
      </c>
      <c r="F180" s="2" t="s">
        <v>210</v>
      </c>
      <c r="G180" s="2" t="s">
        <v>211</v>
      </c>
      <c r="H180" s="2" t="s">
        <v>212</v>
      </c>
      <c r="I180" s="2" t="s">
        <v>151</v>
      </c>
      <c r="J180" s="2" t="s">
        <v>214</v>
      </c>
      <c r="M180" s="2" t="s">
        <v>69</v>
      </c>
      <c r="N180" s="15" t="s">
        <v>67</v>
      </c>
      <c r="O180" s="15" t="s">
        <v>68</v>
      </c>
      <c r="P180" s="15" t="s">
        <v>0</v>
      </c>
      <c r="Q180" s="15" t="s">
        <v>70</v>
      </c>
      <c r="R180" s="15" t="s">
        <v>71</v>
      </c>
      <c r="S180" s="15" t="s">
        <v>72</v>
      </c>
      <c r="T180" s="15" t="s">
        <v>70</v>
      </c>
      <c r="U180" s="15" t="s">
        <v>73</v>
      </c>
      <c r="V180" s="15" t="s">
        <v>78</v>
      </c>
      <c r="W180" s="15" t="s">
        <v>68</v>
      </c>
      <c r="X180" s="15" t="s">
        <v>74</v>
      </c>
      <c r="Y180" s="15" t="s">
        <v>75</v>
      </c>
      <c r="Z180" s="15" t="s">
        <v>45</v>
      </c>
      <c r="AA180" s="15" t="s">
        <v>76</v>
      </c>
      <c r="AB180" s="15" t="s">
        <v>70</v>
      </c>
      <c r="AC180" s="15" t="s">
        <v>82</v>
      </c>
      <c r="AD180" s="15" t="s">
        <v>79</v>
      </c>
      <c r="AE180" s="15" t="s">
        <v>80</v>
      </c>
      <c r="AF180" s="15" t="s">
        <v>81</v>
      </c>
      <c r="AG180" s="15" t="s">
        <v>85</v>
      </c>
      <c r="AH180" s="15" t="s">
        <v>77</v>
      </c>
      <c r="AI180" s="15" t="s">
        <v>136</v>
      </c>
      <c r="AJ180" s="15" t="s">
        <v>137</v>
      </c>
      <c r="AK180" s="15" t="s">
        <v>92</v>
      </c>
      <c r="AL180" s="15" t="s">
        <v>138</v>
      </c>
      <c r="AM180" s="15" t="s">
        <v>139</v>
      </c>
      <c r="AN180" s="15" t="s">
        <v>91</v>
      </c>
      <c r="AO180" s="15" t="s">
        <v>93</v>
      </c>
      <c r="AP180" s="15" t="s">
        <v>135</v>
      </c>
      <c r="AQ180" s="15" t="s">
        <v>94</v>
      </c>
      <c r="AR180" s="15" t="s">
        <v>95</v>
      </c>
      <c r="AS180" s="15" t="s">
        <v>96</v>
      </c>
      <c r="AT180" s="15" t="s">
        <v>97</v>
      </c>
      <c r="AU180" s="15" t="s">
        <v>140</v>
      </c>
      <c r="AV180" s="15" t="s">
        <v>98</v>
      </c>
      <c r="AW180" s="15" t="s">
        <v>99</v>
      </c>
      <c r="AX180" s="15" t="s">
        <v>100</v>
      </c>
      <c r="AY180" s="15" t="s">
        <v>101</v>
      </c>
      <c r="AZ180" s="15" t="s">
        <v>102</v>
      </c>
      <c r="BA180" s="15" t="s">
        <v>141</v>
      </c>
      <c r="BB180" s="15" t="s">
        <v>103</v>
      </c>
      <c r="BC180" s="15" t="s">
        <v>142</v>
      </c>
      <c r="BD180" s="2" t="s">
        <v>86</v>
      </c>
      <c r="BE180" s="2" t="s">
        <v>87</v>
      </c>
      <c r="BF180" s="2" t="s">
        <v>88</v>
      </c>
      <c r="BG180" s="2" t="s">
        <v>89</v>
      </c>
      <c r="BH180" s="2" t="s">
        <v>143</v>
      </c>
      <c r="BI180" s="2" t="s">
        <v>90</v>
      </c>
      <c r="BJ180" s="2" t="s">
        <v>104</v>
      </c>
      <c r="BK180" s="2" t="s">
        <v>144</v>
      </c>
      <c r="BL180" s="2" t="s">
        <v>145</v>
      </c>
      <c r="BM180" s="2" t="s">
        <v>105</v>
      </c>
      <c r="BN180" s="2" t="s">
        <v>106</v>
      </c>
      <c r="BO180" s="2" t="s">
        <v>107</v>
      </c>
      <c r="BP180" s="2" t="s">
        <v>108</v>
      </c>
      <c r="BQ180" s="2" t="s">
        <v>109</v>
      </c>
      <c r="BR180" s="2" t="s">
        <v>146</v>
      </c>
      <c r="BS180" s="2" t="s">
        <v>103</v>
      </c>
      <c r="BT180" s="2" t="s">
        <v>147</v>
      </c>
      <c r="BU180" s="2" t="s">
        <v>111</v>
      </c>
      <c r="BV180" s="2" t="s">
        <v>112</v>
      </c>
      <c r="BW180" s="2" t="s">
        <v>148</v>
      </c>
      <c r="BX180" s="2" t="s">
        <v>31</v>
      </c>
      <c r="BY180" s="2" t="s">
        <v>113</v>
      </c>
      <c r="BZ180" s="2" t="s">
        <v>114</v>
      </c>
      <c r="CA180" s="2" t="s">
        <v>115</v>
      </c>
      <c r="CB180" s="2" t="s">
        <v>116</v>
      </c>
      <c r="CC180" s="2" t="s">
        <v>117</v>
      </c>
      <c r="CD180" s="2" t="s">
        <v>118</v>
      </c>
      <c r="CE180" s="2" t="s">
        <v>119</v>
      </c>
      <c r="CF180" s="2" t="s">
        <v>120</v>
      </c>
      <c r="CG180" s="2" t="s">
        <v>121</v>
      </c>
      <c r="CH180" s="2" t="s">
        <v>122</v>
      </c>
      <c r="CI180" s="2" t="s">
        <v>123</v>
      </c>
      <c r="CJ180" s="2" t="s">
        <v>124</v>
      </c>
      <c r="CK180" s="2" t="s">
        <v>125</v>
      </c>
      <c r="CL180" s="2" t="s">
        <v>126</v>
      </c>
      <c r="CM180" s="2" t="s">
        <v>127</v>
      </c>
      <c r="CN180" s="2" t="s">
        <v>128</v>
      </c>
      <c r="CO180" s="2" t="s">
        <v>129</v>
      </c>
      <c r="CP180" s="2" t="s">
        <v>130</v>
      </c>
      <c r="CQ180" s="2" t="s">
        <v>110</v>
      </c>
      <c r="CR180" s="2" t="s">
        <v>131</v>
      </c>
      <c r="CS180" s="13" t="s">
        <v>106</v>
      </c>
      <c r="CT180" s="10" t="s">
        <v>132</v>
      </c>
      <c r="CU180" s="10" t="s">
        <v>133</v>
      </c>
      <c r="CV180" s="10" t="s">
        <v>134</v>
      </c>
      <c r="CW180" s="10" t="s">
        <v>100</v>
      </c>
      <c r="CX180" s="10" t="s">
        <v>101</v>
      </c>
      <c r="CY180" s="10" t="s">
        <v>102</v>
      </c>
      <c r="CZ180" s="10" t="s">
        <v>149</v>
      </c>
      <c r="DA180" s="10" t="s">
        <v>103</v>
      </c>
      <c r="DB180" s="10" t="s">
        <v>150</v>
      </c>
      <c r="DC180" s="10" t="s">
        <v>15</v>
      </c>
      <c r="DD180" s="10" t="s">
        <v>216</v>
      </c>
      <c r="DE180" s="10" t="s">
        <v>217</v>
      </c>
      <c r="DF180" s="10" t="s">
        <v>218</v>
      </c>
      <c r="DG180" s="10" t="s">
        <v>219</v>
      </c>
      <c r="DH180" s="10" t="s">
        <v>220</v>
      </c>
      <c r="DI180" s="10" t="s">
        <v>221</v>
      </c>
      <c r="DJ180" s="15" t="s">
        <v>222</v>
      </c>
      <c r="DK180" s="15" t="s">
        <v>223</v>
      </c>
      <c r="DL180" s="15" t="s">
        <v>224</v>
      </c>
      <c r="DM180" s="15" t="s">
        <v>225</v>
      </c>
      <c r="DN180" s="15" t="s">
        <v>226</v>
      </c>
      <c r="DO180" s="15" t="s">
        <v>227</v>
      </c>
      <c r="DP180" s="15" t="s">
        <v>228</v>
      </c>
      <c r="DQ180" s="15" t="s">
        <v>229</v>
      </c>
      <c r="DR180" s="15" t="s">
        <v>230</v>
      </c>
      <c r="DS180" s="15" t="s">
        <v>103</v>
      </c>
      <c r="DT180" s="15" t="s">
        <v>231</v>
      </c>
      <c r="DU180" s="15" t="s">
        <v>239</v>
      </c>
      <c r="DV180" s="10" t="s">
        <v>107</v>
      </c>
      <c r="DW180" s="10" t="s">
        <v>108</v>
      </c>
      <c r="DX180" s="10" t="s">
        <v>109</v>
      </c>
      <c r="DY180" s="10" t="s">
        <v>98</v>
      </c>
      <c r="DZ180" s="10" t="s">
        <v>99</v>
      </c>
      <c r="EA180" s="10" t="s">
        <v>132</v>
      </c>
      <c r="EB180" s="10" t="s">
        <v>133</v>
      </c>
      <c r="EC180" s="10" t="s">
        <v>134</v>
      </c>
      <c r="ED180" s="10" t="s">
        <v>100</v>
      </c>
      <c r="EE180" s="10" t="s">
        <v>101</v>
      </c>
      <c r="EF180" s="10" t="s">
        <v>102</v>
      </c>
      <c r="EG180" s="10" t="s">
        <v>232</v>
      </c>
      <c r="EH180" s="15"/>
      <c r="EI180" s="15" t="s">
        <v>233</v>
      </c>
      <c r="EJ180" s="15" t="s">
        <v>15</v>
      </c>
      <c r="EK180" s="2" t="s">
        <v>9</v>
      </c>
      <c r="EL180" s="2" t="s">
        <v>235</v>
      </c>
      <c r="EM180" s="2" t="s">
        <v>236</v>
      </c>
      <c r="EN180" s="2" t="s">
        <v>81</v>
      </c>
      <c r="EO180" s="2" t="s">
        <v>70</v>
      </c>
      <c r="EP180" s="2" t="s">
        <v>2</v>
      </c>
      <c r="EQ180" s="2" t="s">
        <v>76</v>
      </c>
      <c r="ER180" s="2" t="s">
        <v>94</v>
      </c>
      <c r="ES180" s="2" t="s">
        <v>95</v>
      </c>
      <c r="ET180" s="2" t="s">
        <v>40</v>
      </c>
      <c r="EU180" s="2" t="s">
        <v>237</v>
      </c>
      <c r="EV180" s="2" t="s">
        <v>107</v>
      </c>
      <c r="EW180" s="2" t="s">
        <v>108</v>
      </c>
      <c r="EX180" s="2" t="s">
        <v>109</v>
      </c>
      <c r="EY180" s="2" t="s">
        <v>238</v>
      </c>
      <c r="EZ180" s="2" t="s">
        <v>103</v>
      </c>
      <c r="FA180" s="2" t="s">
        <v>147</v>
      </c>
      <c r="FB180" s="2" t="s">
        <v>239</v>
      </c>
      <c r="FC180" s="13" t="s">
        <v>107</v>
      </c>
      <c r="FD180" s="10" t="s">
        <v>108</v>
      </c>
      <c r="FE180" s="10" t="s">
        <v>109</v>
      </c>
      <c r="FF180" s="10" t="s">
        <v>98</v>
      </c>
      <c r="FG180" s="10" t="s">
        <v>99</v>
      </c>
      <c r="FH180" s="10" t="s">
        <v>132</v>
      </c>
      <c r="FI180" s="10" t="s">
        <v>133</v>
      </c>
      <c r="FJ180" s="10" t="s">
        <v>134</v>
      </c>
      <c r="FK180" s="10" t="s">
        <v>100</v>
      </c>
      <c r="FL180" s="10" t="s">
        <v>101</v>
      </c>
      <c r="FM180" s="10" t="s">
        <v>102</v>
      </c>
      <c r="FN180" s="10" t="s">
        <v>241</v>
      </c>
      <c r="FP180" s="2" t="s">
        <v>84</v>
      </c>
      <c r="FQ180" s="2" t="s">
        <v>15</v>
      </c>
      <c r="FR180" s="2" t="s">
        <v>9</v>
      </c>
      <c r="FS180" s="2" t="s">
        <v>235</v>
      </c>
      <c r="FT180" s="2" t="s">
        <v>236</v>
      </c>
      <c r="FU180" s="2" t="s">
        <v>81</v>
      </c>
      <c r="FV180" s="2" t="s">
        <v>70</v>
      </c>
      <c r="FW180" s="2" t="s">
        <v>2</v>
      </c>
      <c r="FX180" s="2" t="s">
        <v>76</v>
      </c>
      <c r="FY180" s="2" t="s">
        <v>94</v>
      </c>
      <c r="FZ180" s="2" t="s">
        <v>95</v>
      </c>
      <c r="GA180" s="2" t="s">
        <v>40</v>
      </c>
      <c r="GB180" s="2" t="s">
        <v>237</v>
      </c>
      <c r="GC180" s="2" t="s">
        <v>107</v>
      </c>
      <c r="GD180" s="2" t="s">
        <v>108</v>
      </c>
      <c r="GE180" s="2" t="s">
        <v>109</v>
      </c>
      <c r="GF180" s="2" t="s">
        <v>243</v>
      </c>
      <c r="GG180" s="2" t="s">
        <v>244</v>
      </c>
      <c r="GH180" s="2" t="s">
        <v>238</v>
      </c>
      <c r="GI180" s="2" t="s">
        <v>103</v>
      </c>
      <c r="GJ180" s="2" t="s">
        <v>147</v>
      </c>
      <c r="GK180" s="2" t="s">
        <v>239</v>
      </c>
      <c r="GL180" s="13" t="s">
        <v>107</v>
      </c>
      <c r="GM180" s="10" t="s">
        <v>108</v>
      </c>
      <c r="GN180" s="10" t="s">
        <v>109</v>
      </c>
      <c r="GO180" s="10" t="s">
        <v>98</v>
      </c>
      <c r="GP180" s="10" t="s">
        <v>99</v>
      </c>
      <c r="GQ180" s="10" t="s">
        <v>132</v>
      </c>
      <c r="GR180" s="10" t="s">
        <v>133</v>
      </c>
      <c r="GS180" s="10" t="s">
        <v>134</v>
      </c>
      <c r="GT180" s="10" t="s">
        <v>100</v>
      </c>
      <c r="GU180" s="10" t="s">
        <v>101</v>
      </c>
      <c r="GV180" s="10" t="s">
        <v>102</v>
      </c>
      <c r="GW180" s="10" t="s">
        <v>241</v>
      </c>
      <c r="GY180" s="2" t="s">
        <v>84</v>
      </c>
      <c r="GZ180" s="2" t="s">
        <v>15</v>
      </c>
      <c r="HA180" s="2" t="s">
        <v>9</v>
      </c>
      <c r="HB180" s="2" t="s">
        <v>235</v>
      </c>
      <c r="HC180" s="2" t="s">
        <v>236</v>
      </c>
      <c r="HD180" s="2" t="s">
        <v>81</v>
      </c>
      <c r="HE180" s="2" t="s">
        <v>70</v>
      </c>
      <c r="HF180" s="2" t="s">
        <v>2</v>
      </c>
      <c r="HG180" s="2" t="s">
        <v>76</v>
      </c>
      <c r="HH180" s="2" t="s">
        <v>94</v>
      </c>
      <c r="HI180" s="2" t="s">
        <v>95</v>
      </c>
      <c r="HJ180" s="2" t="s">
        <v>40</v>
      </c>
      <c r="HK180" s="2" t="s">
        <v>237</v>
      </c>
      <c r="HL180" s="2" t="s">
        <v>107</v>
      </c>
      <c r="HM180" s="2" t="s">
        <v>108</v>
      </c>
      <c r="HN180" s="2" t="s">
        <v>109</v>
      </c>
      <c r="HO180" s="2" t="s">
        <v>243</v>
      </c>
      <c r="HP180" s="2" t="s">
        <v>244</v>
      </c>
      <c r="HQ180" s="2" t="s">
        <v>238</v>
      </c>
      <c r="HR180" s="2" t="s">
        <v>103</v>
      </c>
      <c r="HS180" s="2" t="s">
        <v>245</v>
      </c>
      <c r="HT180" s="2" t="s">
        <v>246</v>
      </c>
      <c r="HU180" s="2" t="s">
        <v>147</v>
      </c>
      <c r="HV180" s="2" t="s">
        <v>239</v>
      </c>
      <c r="HW180" s="13" t="s">
        <v>107</v>
      </c>
      <c r="HX180" s="10" t="s">
        <v>108</v>
      </c>
      <c r="HY180" s="10" t="s">
        <v>109</v>
      </c>
      <c r="HZ180" s="10" t="s">
        <v>98</v>
      </c>
      <c r="IA180" s="10" t="s">
        <v>99</v>
      </c>
      <c r="IB180" s="10" t="s">
        <v>132</v>
      </c>
      <c r="IC180" s="10" t="s">
        <v>133</v>
      </c>
      <c r="ID180" s="10" t="s">
        <v>134</v>
      </c>
      <c r="IE180" s="10" t="s">
        <v>100</v>
      </c>
      <c r="IF180" s="10" t="s">
        <v>101</v>
      </c>
      <c r="IG180" s="10" t="s">
        <v>102</v>
      </c>
      <c r="IH180" s="10" t="s">
        <v>241</v>
      </c>
      <c r="IJ180" s="2" t="s">
        <v>84</v>
      </c>
      <c r="IK180" s="2" t="s">
        <v>15</v>
      </c>
    </row>
    <row r="181" spans="2:245" s="2" customFormat="1" ht="15" customHeight="1">
      <c r="B181" s="8" t="s">
        <v>152</v>
      </c>
      <c r="C181" s="2">
        <f>(2+58/60+16/3600)</f>
        <v>2.971111111111111</v>
      </c>
      <c r="D181" s="2">
        <f>-40-18.6/60</f>
        <v>-40.31</v>
      </c>
      <c r="E181" s="17">
        <f>MOD(360-(C181+((3.075+1.336*SIN(RADIANS(C181))*TAN(RADIANS(D181)))*($L$4-36526)/365)/3600)*15,360)</f>
        <v>315.11022244571393</v>
      </c>
      <c r="F181" s="17">
        <f t="shared" ref="F181:F188" si="4">D181+(20.04*COS(RADIANS(C181*15))*($L$4-36526)/365)/3600</f>
        <v>-40.208038727836772</v>
      </c>
      <c r="G181" s="17">
        <f t="shared" ref="G181:G212" si="5">-17.3*SIN(RADIANS(125-0.05295*($L$4-2451545)))-1.4*SIN(RADIANS(200+1.97129*($L$4-2451545)))</f>
        <v>-14.072369883828495</v>
      </c>
      <c r="H181" s="17">
        <f t="shared" ref="H181:H212" si="6">9.4*COS(RADIANS(125-0.05295*($L$4-2451545)))+0.7*COS(RADIANS(200+1.97129*($L$4-2451545)))</f>
        <v>4.2833657197078132</v>
      </c>
      <c r="I181" s="19">
        <f t="shared" ref="I181:I212" si="7">E181+(0.9175+0.3978*SIN(RADIANS(C181*15)*TAN(RADIANS(D181)))*G181-COS(RADIANS(C181*15))*TAN(RADIANS(D181))*H181)/3600</f>
        <v>315.11214969304757</v>
      </c>
      <c r="J181" s="19">
        <f t="shared" ref="J181:J212" si="8">F181+(0.3978*COS(RADIANS(C181*15))*G181+SIN(RADIANS(C181))*H181)/3600</f>
        <v>-40.209084889669306</v>
      </c>
      <c r="K181" s="20">
        <f>-36525+$L$4-1.5+(L6+M6/60+N6/3600)/24</f>
        <v>9384.1180555555547</v>
      </c>
      <c r="L181" s="20">
        <f>360-MOD(280.46061837+360.98564736629*(K181),360)</f>
        <v>147.60813521733508</v>
      </c>
      <c r="M181" s="2">
        <f>K181/36525</f>
        <v>0.25692315004943339</v>
      </c>
      <c r="N181" s="15">
        <f>MOD(125.04452-1934.136261*M181,360)</f>
        <v>348.12013919904689</v>
      </c>
      <c r="O181" s="15">
        <f>MOD(280.4665+36000.7698*M181,360)</f>
        <v>169.897681220511</v>
      </c>
      <c r="P181" s="15">
        <f>MOD(218.3165+481267.8813*M181,360)</f>
        <v>27.176581212799647</v>
      </c>
      <c r="Q181" s="15">
        <f>MOD(23.4393-0.0000003563*K181,360)</f>
        <v>23.435956438736806</v>
      </c>
      <c r="R181" s="15">
        <f>-(17.2*SIN(RADIANS(N181))-1.32*SIN(RADIANS(2*O181))-0.23*SIN(RADIANS(2*P181))+0.21*SIN(RADIANS(2*N181)))</f>
        <v>3.356415167953489</v>
      </c>
      <c r="S181" s="15">
        <f>9.2*COS(RADIANS(N181))+0.57*COS(RADIANS(2*O181))+0.1*COS(RADIANS(2*P181))-0.09*COS(RADIANS(2*N181))</f>
        <v>9.5137808758981279</v>
      </c>
      <c r="T181" s="15">
        <f>S181+Q181</f>
        <v>32.94973731463493</v>
      </c>
      <c r="U181" s="15">
        <f>R181*COS(RADIANS(T181))/3600</f>
        <v>7.8236921502647632E-4</v>
      </c>
      <c r="V181" s="15">
        <f>MOD(360-L181-U181,360)</f>
        <v>212.39108241344991</v>
      </c>
      <c r="W181" s="15">
        <f>MOD(280.461+0.9856474*K181,360)</f>
        <v>169.89256275138723</v>
      </c>
      <c r="X181" s="15">
        <f>MOD(357.528+35999.05*M181,360)</f>
        <v>246.51732478705526</v>
      </c>
      <c r="Y181" s="15">
        <f>1.915*SIN(RADIANS(X181))+0.02*SIN(RADIANS(2*X181))</f>
        <v>-1.7417820341379662</v>
      </c>
      <c r="Z181" s="15">
        <f>W181+Y181</f>
        <v>168.15078071724926</v>
      </c>
      <c r="AA181" s="15">
        <f>-Y181+2.466*SIN(RADIANS(2*Z181))-0.053*SIN(RADIANS(4*Z181))</f>
        <v>0.78965154357926481</v>
      </c>
      <c r="AB181" s="15">
        <f>Q181</f>
        <v>23.435956438736806</v>
      </c>
      <c r="AC181" s="15">
        <f>DEGREES(ASIN(SIN(RADIANS(AB181))*SIN(RADIANS(Z181))))</f>
        <v>4.6844113850999296</v>
      </c>
      <c r="AD181" s="15">
        <f>COS(RADIANS(AB181))*SIN(RADIANS(Z181))</f>
        <v>0.18839764017922433</v>
      </c>
      <c r="AE181" s="15">
        <f>COS(RADIANS(Z181))</f>
        <v>-0.97869135761738102</v>
      </c>
      <c r="AF181" s="15">
        <f>MOD(IF(AE181&lt;0,DEGREES(ATAN(AD181/AE181))+180,DEGREES(ATAN(AD181/AE181))),360)</f>
        <v>169.10387304532864</v>
      </c>
      <c r="AG181" s="15">
        <f>180-L181</f>
        <v>32.391864782664925</v>
      </c>
      <c r="AH181" s="15">
        <f>MOD(AG181-AF181+180,360)</f>
        <v>43.287991737336284</v>
      </c>
      <c r="AI181" s="15">
        <v>0</v>
      </c>
      <c r="AJ181" s="21">
        <v>0</v>
      </c>
      <c r="AK181" s="21">
        <f>RADIANS(282.9404+0.0000470935*(K181+1.5))</f>
        <v>4.945955950196903</v>
      </c>
      <c r="AL181" s="15">
        <v>1</v>
      </c>
      <c r="AM181" s="21">
        <f>0.016709-0.000000001151*(K181+1.5)</f>
        <v>1.6698197153618057E-2</v>
      </c>
      <c r="AN181" s="21">
        <f>MOD(RADIANS(356.047+0.9856002585*(K181+1.5)),2*PI())</f>
        <v>4.3024911055017157</v>
      </c>
      <c r="AO181" s="21">
        <f>AN181+AM181*SIN(AN181)*(1+AM181*COS(AN181))</f>
        <v>4.2872780747075652</v>
      </c>
      <c r="AP181" s="21">
        <f>RADIANS(MOD(23.4393-0.0000003563*(K181+1.5),360))</f>
        <v>0.4090345938820098</v>
      </c>
      <c r="AQ181" s="21">
        <f>COS(AO181)-AM181</f>
        <v>-0.42912001572861369</v>
      </c>
      <c r="AR181" s="21">
        <f>SQRT(1-AM181*AM181)*SIN(AO181)</f>
        <v>-0.9108659837887958</v>
      </c>
      <c r="AS181" s="15">
        <f>MOD(RADIANS(IF(AQ181&gt;0,DEGREES(ATAN(AR181/AQ181)),IF(AQ181=0,IF(AR181&lt;0,-90,90),DEGREES(ATAN(AR181/AQ181))+180))),2*PI())</f>
        <v>4.272117571424026</v>
      </c>
      <c r="AT181" s="21">
        <f>SQRT(AQ181*AQ181+AR181*AR181)</f>
        <v>1.006886700837019</v>
      </c>
      <c r="AU181" s="22">
        <f>AS181+AK181</f>
        <v>9.21807352162093</v>
      </c>
      <c r="AV181" s="21">
        <f>AT181*COS(AU181)</f>
        <v>-0.98545269555505088</v>
      </c>
      <c r="AW181" s="15">
        <f>AT181*SIN(AU181)</f>
        <v>0.20664900954454379</v>
      </c>
      <c r="AX181" s="21">
        <f>AV181</f>
        <v>-0.98545269555505088</v>
      </c>
      <c r="AY181" s="15">
        <f>AW181*COS(AP181)</f>
        <v>0.18960154398509532</v>
      </c>
      <c r="AZ181" s="15">
        <f>AW181*SIN(AP181)</f>
        <v>8.2189218661628122E-2</v>
      </c>
      <c r="BA181" s="15">
        <f>DEGREES(MOD(RADIANS(IF(AX181&gt;0,DEGREES(ATAN(AY181/AX181)),IF(AX181=0,IF(AY181&lt;0,-90,90),DEGREES(ATAN(AY181/AX181))+180))),PI()))</f>
        <v>169.10934783957541</v>
      </c>
      <c r="BB181" s="15">
        <f>SQRT(AX181*AX181+AY181*AY181)</f>
        <v>1.0035266616578993</v>
      </c>
      <c r="BC181" s="15">
        <f>DEGREES(RADIANS(IF(BB181&gt;0,DEGREES(ATAN(AZ181/BB181)),IF(BB181=0,IF(AZ181&lt;0,-90,90),DEGREES(ATAN(AZ181/BB181))+180))))</f>
        <v>4.6820963306721941</v>
      </c>
      <c r="BD181" s="19">
        <f>RADIANS(125.1228-0.0529538083*(K181+1.5))</f>
        <v>-6.4905551936158945</v>
      </c>
      <c r="BE181" s="2">
        <f>RADIANS(5.1454)</f>
        <v>8.9804171332116239E-2</v>
      </c>
      <c r="BF181" s="19">
        <f>RADIANS(318.0634+0.1643573223*(K181+1.5))</f>
        <v>32.4746162379517</v>
      </c>
      <c r="BG181" s="2">
        <f>60.2666</f>
        <v>60.266599999999997</v>
      </c>
      <c r="BH181" s="19">
        <f>0.0549</f>
        <v>5.4899999999999997E-2</v>
      </c>
      <c r="BI181" s="19">
        <f>MOD(RADIANS(115.3654+13.0649929509*(K181+1.5)),2*PI())</f>
        <v>5.9061791033982729</v>
      </c>
      <c r="BJ181" s="19">
        <f>BI181+BH181*SIN(BI181)*(1+BH181*COS(BI181))</f>
        <v>5.8849366463753459</v>
      </c>
      <c r="BK181" s="19">
        <f>BG181*(COS(BJ181)-BH181)</f>
        <v>52.241595050106724</v>
      </c>
      <c r="BL181" s="19">
        <f>BG181*(SQRT(1-BH181*BH181)*SIN(BJ181))</f>
        <v>-23.336420263418784</v>
      </c>
      <c r="BM181" s="2">
        <f>MOD(RADIANS(IF(BK181&gt;0,DEGREES(ATAN(BL181/BK181)),IF(BK181=0,IF(BL181&lt;0,-90,90),DEGREES(ATAN(BL181/BK181))+180))),2*PI())</f>
        <v>5.8630774582107614</v>
      </c>
      <c r="BN181" s="19">
        <f>SQRT(BK181*BK181+BL181*BL181)</f>
        <v>57.216892296683142</v>
      </c>
      <c r="BO181" s="19">
        <f>BN181*(COS(BD181)*COS(BM181+BF181)-SIN(BD181)*SIN(BM181+BF181)*COS(BE181))</f>
        <v>51.950954166494682</v>
      </c>
      <c r="BP181" s="19">
        <f>BN181*(SIN(BD181)*COS(BM181+BF181)+COS(BD181)*SIN(BM181+BF181)*COS(BE181))</f>
        <v>23.780580208887333</v>
      </c>
      <c r="BQ181" s="19">
        <f>BN181*(SIN(BM181+BF181)*SIN(BE181))</f>
        <v>3.0586157342306004</v>
      </c>
      <c r="BR181" s="2">
        <f>DEGREES(RADIANS(IF(BO181&gt;0,DEGREES(ATAN(BP181/BO181)),IF(BO181=0,IF(BP181&lt;0,-90,90),DEGREES(ATAN(BP181/BO181))+180))))</f>
        <v>24.595966548293951</v>
      </c>
      <c r="BS181" s="2">
        <f>SQRT(BO181*BO181+BP181*BP181)</f>
        <v>57.135082338967145</v>
      </c>
      <c r="BT181" s="2">
        <f>DEGREES(RADIANS(IF(BS181&gt;0,DEGREES(ATAN(BQ181/BS181)),IF(BS181=0,IF(BQ181&lt;0,-90,90),DEGREES(ATAN(BQ181/BS181))+180))))</f>
        <v>3.0642933737084039</v>
      </c>
      <c r="BU181" s="2">
        <f>AN181+AK181</f>
        <v>9.2484470556986196</v>
      </c>
      <c r="BV181" s="2">
        <f>BI181+BF181+BD181</f>
        <v>31.89024014773408</v>
      </c>
      <c r="BW181" s="2">
        <f>BV181-BU181</f>
        <v>22.64179309203546</v>
      </c>
      <c r="BX181" s="19">
        <f>BV181-BD181</f>
        <v>38.380795341349973</v>
      </c>
      <c r="BY181" s="2">
        <f>-1.274*SIN(BI181-2*BW181)</f>
        <v>1.2666459040185907</v>
      </c>
      <c r="BZ181" s="19">
        <f>BY181+0.658*SIN(2*BW181)</f>
        <v>1.9008935515060643</v>
      </c>
      <c r="CA181" s="19">
        <f>BZ181-0.186*SIN(AN181)</f>
        <v>2.071485595352895</v>
      </c>
      <c r="CB181" s="19">
        <f>CA181-0.059*SIN(2*BI181-2*BW181)</f>
        <v>2.1236950234214862</v>
      </c>
      <c r="CC181" s="19">
        <f>CB181-0.057*SIN(BI181-2*BW181+AN181)</f>
        <v>2.0955017211855047</v>
      </c>
      <c r="CD181" s="19">
        <f>CC181+0.053*SIN(BI181+2*BW181)</f>
        <v>2.1378057350141093</v>
      </c>
      <c r="CE181" s="19">
        <f>CD181+0.046*SIN(2*BW181-AN181)</f>
        <v>2.1313689612499824</v>
      </c>
      <c r="CF181" s="19">
        <f>CE181+0.041*SIN(BI181-AN181)</f>
        <v>2.1723467850778162</v>
      </c>
      <c r="CG181" s="19">
        <f>CF181-0.035*SIN(BW181)</f>
        <v>2.1935462630092721</v>
      </c>
      <c r="CH181" s="19">
        <f>CG181-0.031*SIN(BI181+AN181)</f>
        <v>2.2154335382534978</v>
      </c>
      <c r="CI181" s="19">
        <f>CH181-0.015*SIN(2*BX181-2*BW181)</f>
        <v>2.2145029667677965</v>
      </c>
      <c r="CJ181" s="19">
        <f>CI181+0.011*SIN(BI181-4*BW181)</f>
        <v>2.2127286600176141</v>
      </c>
      <c r="CK181" s="2">
        <f>RADIANS(CJ181+BR181)</f>
        <v>0.4678999995486639</v>
      </c>
      <c r="CL181" s="19">
        <f>-0.173*SIN(BX181-2*BW181)</f>
        <v>0.10046353397430717</v>
      </c>
      <c r="CM181" s="19">
        <f>CL181-0.055*SIN(BI181-BX181-2*BW181)</f>
        <v>0.13920695620466772</v>
      </c>
      <c r="CN181" s="19">
        <f>CM181-0.046*SIN(BI181+BX181-2*BW181)</f>
        <v>0.17783018796655117</v>
      </c>
      <c r="CO181" s="19">
        <f>CN181+0.033*SIN(BX181+2*BW181)</f>
        <v>0.20806647743755918</v>
      </c>
      <c r="CP181" s="19">
        <f>CO181+0.017*SIN(2*BI181+BX181)</f>
        <v>0.20683795779459613</v>
      </c>
      <c r="CQ181" s="2">
        <f>RADIANS(CP181+BT181)</f>
        <v>5.7092011999873467E-2</v>
      </c>
      <c r="CR181" s="19">
        <f>BN181-0.58*COS(BI181-2*BW181)</f>
        <v>57.279121649265718</v>
      </c>
      <c r="CS181" s="19">
        <f>CR181-0.46*COS(2*BW181)</f>
        <v>57.156643637348154</v>
      </c>
      <c r="CT181" s="19">
        <f>CS181*COS(CK181)*COS(CQ181)</f>
        <v>50.930181712754553</v>
      </c>
      <c r="CU181" s="19">
        <f>CS181*SIN(CK181)*COS(CQ181)</f>
        <v>25.736388101718685</v>
      </c>
      <c r="CV181" s="19">
        <f>CS181*SIN(CQ181)</f>
        <v>3.2614153477173335</v>
      </c>
      <c r="CW181" s="15">
        <f>CT181</f>
        <v>50.930181712754553</v>
      </c>
      <c r="CX181" s="15">
        <f>CU181*COS(AP181)-CV181*SIN(AP181)</f>
        <v>22.316127968334268</v>
      </c>
      <c r="CY181" s="21">
        <f>CU181*SIN(AP181)+CV181*COS(AP181)</f>
        <v>13.228338334558211</v>
      </c>
      <c r="CZ181" s="15">
        <f>DEGREES(RADIANS(IF(CW181&gt;0,DEGREES(ATAN(CX181/CW181)),IF(CW181=0,IF(CX181&lt;0,-90,90),DEGREES(ATAN(CX181/CW181))+180))))</f>
        <v>23.661638116615542</v>
      </c>
      <c r="DA181" s="15">
        <f>SQRT(CW181*CW181+CX181*CX181)</f>
        <v>55.604792750205171</v>
      </c>
      <c r="DB181" s="15">
        <f>DEGREES(RADIANS(IF(DA181&gt;0,DEGREES(ATAN(CY181/DA181)),IF(DA181=0,IF(CY181&lt;0,-90,90),DEGREES(ATAN(CY181/DA181))+180))))</f>
        <v>13.381870270404773</v>
      </c>
      <c r="DC181" s="15">
        <f>MOD(AG181-CZ181-180,360)</f>
        <v>188.73022666604939</v>
      </c>
      <c r="DD181" s="15">
        <f>RADIANS(49.5574+0.0000211081*(K181+1.5))</f>
        <v>0.86839751526755682</v>
      </c>
      <c r="DE181" s="15">
        <f>RADIANS(1.8497-0.0000000178*(K181+1.5))</f>
        <v>3.2280439357253318E-2</v>
      </c>
      <c r="DF181" s="15">
        <f>RADIANS(286.5016+0.0000292961*(K181+1.5))</f>
        <v>5.0051952245389693</v>
      </c>
      <c r="DG181" s="15">
        <f>1.523688</f>
        <v>1.5236879999999999</v>
      </c>
      <c r="DH181" s="15">
        <f>0.093405+0.000000002516*(K181+1.5)</f>
        <v>9.342861421502778E-2</v>
      </c>
      <c r="DI181" s="15">
        <f>MOD(RADIANS(18.6021+0.5240207766*(K181+1.5)),2*PI())</f>
        <v>4.4830695127300757</v>
      </c>
      <c r="DJ181" s="21">
        <f>DI181+DH181*SIN(DI181)*(1+DH181*COS(DI181))</f>
        <v>4.3940190027406381</v>
      </c>
      <c r="DK181" s="21">
        <f>DG181*(COS(DJ181)-DH181)</f>
        <v>-0.61929915196911334</v>
      </c>
      <c r="DL181" s="21">
        <f>DG181*(SQRT(1-DH181*DH181)*SIN(DJ181))</f>
        <v>-1.440788244269481</v>
      </c>
      <c r="DM181" s="15">
        <f>MOD(RADIANS(IF(DK181&gt;0,DEGREES(ATAN(DL181/DK181)),IF(DK181=0,IF(DL181&lt;0,-90,90),DEGREES(ATAN(DL181/DK181))+180))),2*PI())</f>
        <v>4.3064313912300971</v>
      </c>
      <c r="DN181" s="21">
        <f>SQRT(DK181*DK181+DL181*DL181)</f>
        <v>1.5682481322975637</v>
      </c>
      <c r="DO181" s="21">
        <f>DN181*(COS(DD181)*COS(DM181+DF181)-SIN(DD181)*SIN(DM181+DF181)*COS(DE181))</f>
        <v>-1.1417754802942224</v>
      </c>
      <c r="DP181" s="21">
        <f>DN181*(SIN(DD181)*COS(DM181+DF181)+COS(DD181)*SIN(DM181+DF181)*COS(DE181))</f>
        <v>-1.0750433928721523</v>
      </c>
      <c r="DQ181" s="21">
        <f>DN181*(SIN(DM181+DF181)*SIN(DE181))</f>
        <v>5.7149361872718763E-3</v>
      </c>
      <c r="DR181" s="15">
        <f>DEGREES(RADIANS(IF(DO181&gt;0,DEGREES(ATAN(DP181/DO181)),IF(DO181=0,IF(DP181&lt;0,-90,90),DEGREES(ATAN(DP181/DO181))+180))))+DU181</f>
        <v>223.27594304093401</v>
      </c>
      <c r="DS181" s="15">
        <f>SQRT(DO181*DO181+DP181*DP181)</f>
        <v>1.568237719211973</v>
      </c>
      <c r="DT181" s="15">
        <f>DEGREES(RADIANS(IF(DS181&gt;0,DEGREES(ATAN(DQ181/DS181)),IF(DS181=0,IF(DQ181&lt;0,-90,90),DEGREES(ATAN(DQ181/DS181))+180))))</f>
        <v>0.20879505080069441</v>
      </c>
      <c r="DU181" s="21">
        <f>0.0000382394*(365.2422*((2000-(36526-$L$4)/365)-2000)-($K181+1.5))</f>
        <v>1.7623801096053581E-4</v>
      </c>
      <c r="DV181" s="21">
        <f>DN181*COS(RADIANS(DR181))*COS(RADIANS(DT181))</f>
        <v>-1.1417721735267723</v>
      </c>
      <c r="DW181" s="21">
        <f>DN181*SIN(RADIANS(DR181))*COS(RADIANS(DT181))</f>
        <v>-1.075046904892583</v>
      </c>
      <c r="DX181" s="21">
        <f>DN181*SIN(RADIANS(DT181))</f>
        <v>5.7149361872718771E-3</v>
      </c>
      <c r="DY181" s="10">
        <f>$AT181*COS($AU181+RADIANS(DU181))</f>
        <v>-0.98545333118901213</v>
      </c>
      <c r="DZ181" s="10">
        <f>$AT181*SIN($AU181+RADIANS(DU181))</f>
        <v>0.20664597835655049</v>
      </c>
      <c r="EA181" s="10">
        <f t="shared" ref="EA181:EB183" si="9">DV181+DY181</f>
        <v>-2.1272255047157844</v>
      </c>
      <c r="EB181" s="15">
        <f t="shared" si="9"/>
        <v>-0.86840092653603251</v>
      </c>
      <c r="EC181" s="15">
        <f>DX181</f>
        <v>5.7149361872718771E-3</v>
      </c>
      <c r="ED181" s="15">
        <f>EA181</f>
        <v>-2.1272255047157844</v>
      </c>
      <c r="EE181" s="21">
        <f>EB181*COS(RADIANS($AB181))-EC181*SIN(RADIANS($AB181))</f>
        <v>-0.79903534170099388</v>
      </c>
      <c r="EF181" s="15">
        <f>EB181*SIN(RADIANS($AB181))+EC181*COS(RADIANS($AB181))</f>
        <v>-0.34014019523872835</v>
      </c>
      <c r="EG181" s="15">
        <f>DEGREES(RADIANS(IF(ED181&gt;0,DEGREES(ATAN(EE181/ED181)),IF(ED181=0,IF(EE181&lt;0,-90,90),DEGREES(ATAN(EE181/ED181))+180))))</f>
        <v>200.58734547022914</v>
      </c>
      <c r="EH181" s="15">
        <f>SQRT(ED181*ED181+EE181*EE181)</f>
        <v>2.2723436855371477</v>
      </c>
      <c r="EI181" s="15">
        <f>DEGREES(RADIANS(IF(EH181&gt;0,DEGREES(ATAN(EF181/EH181)),IF(EH181=0,IF(EF181&lt;0,-90,90),DEGREES(ATAN(EF181/EH181))+180))))</f>
        <v>-8.5132230406719387</v>
      </c>
      <c r="EJ181" s="15">
        <f>MOD($AG181-EG181-180,360)</f>
        <v>11.804519312435787</v>
      </c>
      <c r="EK181" s="19">
        <f>RADIANS(76.6799+0.000024659*(K181+1.5))</f>
        <v>1.3423561143464469</v>
      </c>
      <c r="EL181" s="19">
        <f>RADIANS(3.3946+0.0000000275*(K181+1.5))</f>
        <v>5.9251451561478125E-2</v>
      </c>
      <c r="EM181" s="19">
        <f>RADIANS(54.891+0.0000138374*(K181+1.5))</f>
        <v>0.9602953833400425</v>
      </c>
      <c r="EN181" s="19">
        <f>0.72333</f>
        <v>0.72333000000000003</v>
      </c>
      <c r="EO181" s="2">
        <f>0.006773-0.000000001302*(K181+1.5)</f>
        <v>6.7607799252916668E-3</v>
      </c>
      <c r="EP181" s="19">
        <f>MOD(RADIANS(48.0052+1.6021302244*(K181+1.5)),2*PI())</f>
        <v>5.6721029758519776</v>
      </c>
      <c r="EQ181" s="19">
        <f>EP181+EO181*SIN(EP181)*(1+EO181*COS(EP181))</f>
        <v>5.668202470406758</v>
      </c>
      <c r="ER181" s="19">
        <f>EN181*(COS(EQ181)-EO181)</f>
        <v>0.58591362507015332</v>
      </c>
      <c r="ES181" s="19">
        <f>EN181*(SQRT(1-EO181*EO181)*SIN(EQ181))</f>
        <v>-0.41731173028507224</v>
      </c>
      <c r="ET181" s="2">
        <f>MOD(RADIANS(IF(ER181&gt;0,DEGREES(ATAN(ES181/ER181)),IF(ER181=0,IF(ES181&lt;0,-90,90),DEGREES(ATAN(ES181/ER181))+180))),2*PI())</f>
        <v>5.6642910362136902</v>
      </c>
      <c r="EU181" s="19">
        <f>SQRT(ER181*ER181+ES181*ES181)</f>
        <v>0.71933570485300469</v>
      </c>
      <c r="EV181" s="19">
        <f>EU181*(COS(EK181)*COS(ET181+EM181)-SIN(EK181)*SIN(ET181+EM181)*COS(EL181))</f>
        <v>-8.0672452767700104E-2</v>
      </c>
      <c r="EW181" s="19">
        <f>EU181*(SIN(EK181)*COS(ET181+EM181)+COS(EK181)*SIN(ET181+EM181)*COS(EL181))</f>
        <v>0.71465545196408176</v>
      </c>
      <c r="EX181" s="19">
        <f>EU181*(SIN(ET181+EM181)*SIN(EL181))</f>
        <v>1.4261718649107006E-2</v>
      </c>
      <c r="EY181" s="2">
        <f>DEGREES(RADIANS(IF(EV181&gt;0,DEGREES(ATAN(EW181/EV181)),IF(EV181=0,IF(EW181&lt;0,-90,90),DEGREES(ATAN(EW181/EV181))+180))))+FB181</f>
        <v>96.440632177085803</v>
      </c>
      <c r="EZ181" s="2">
        <f>SQRT(EV181*EV181+EW181*EW181)</f>
        <v>0.71919431286512736</v>
      </c>
      <c r="FA181" s="2">
        <f>DEGREES(RADIANS(IF(EZ181&gt;0,DEGREES(ATAN(EX181/EZ181)),IF(EZ181=0,IF(EX181&lt;0,-90,90),DEGREES(ATAN(EX181/EZ181))+180))))</f>
        <v>1.1360340164144145</v>
      </c>
      <c r="FB181" s="19">
        <f>0.0000382394*(365.2422*((2000-(36526-$L$4)/365)-2000)-($K181+1.5))</f>
        <v>1.7623801096053581E-4</v>
      </c>
      <c r="FC181" s="19">
        <f>EU181*COS(RADIANS(EY181))*COS(RADIANS(FA181))</f>
        <v>-8.0674651000005898E-2</v>
      </c>
      <c r="FD181" s="19">
        <f>EU181*SIN(RADIANS(EY181))*COS(RADIANS(FA181))</f>
        <v>0.71465520381759629</v>
      </c>
      <c r="FE181" s="19">
        <f>EU181*SIN(RADIANS(FA181))</f>
        <v>1.4261718649107006E-2</v>
      </c>
      <c r="FF181" s="13">
        <f>$AT181*COS($AU181+RADIANS(FB181))</f>
        <v>-0.98545333118901213</v>
      </c>
      <c r="FG181" s="13">
        <f>$AT181*SIN($AU181+RADIANS(FB181))</f>
        <v>0.20664597835655049</v>
      </c>
      <c r="FH181" s="13">
        <f t="shared" ref="FH181:FI183" si="10">FC181+FF181</f>
        <v>-1.0661279821890179</v>
      </c>
      <c r="FI181" s="2">
        <f t="shared" si="10"/>
        <v>0.9213011821741468</v>
      </c>
      <c r="FJ181" s="2">
        <f>FE181</f>
        <v>1.4261718649107006E-2</v>
      </c>
      <c r="FK181" s="2">
        <f>FH181</f>
        <v>-1.0661279821890179</v>
      </c>
      <c r="FL181" s="19">
        <f>FI181*COS(RADIANS($AB181))-FJ181*SIN(RADIANS($AB181))</f>
        <v>0.83962641172992136</v>
      </c>
      <c r="FM181" s="2">
        <f>FI181*SIN(RADIANS($AB181))+FJ181*COS(RADIANS($AB181))</f>
        <v>0.3795085685723622</v>
      </c>
      <c r="FN181" s="23">
        <f>DEGREES(RADIANS(IF(FK181&gt;0,DEGREES(ATAN(FL181/FK181)),IF(FK181=0,IF(FL181&lt;0,-90,90),DEGREES(ATAN(FL181/FK181))+180))))</f>
        <v>141.77788868536368</v>
      </c>
      <c r="FO181" s="2">
        <f>SQRT(FK181*FK181+FL181*FL181)</f>
        <v>1.3570561468417179</v>
      </c>
      <c r="FP181" s="23">
        <f>DEGREES(RADIANS(IF(FO181&gt;0,DEGREES(ATAN(FM181/FO181)),IF(FO181=0,IF(FM181&lt;0,-90,90),DEGREES(ATAN(FM181/FO181))+180))))</f>
        <v>15.623955246259422</v>
      </c>
      <c r="FQ181" s="2">
        <f>MOD($AG181-FN181-180,360)</f>
        <v>70.613976097301247</v>
      </c>
      <c r="FR181" s="19">
        <f>RADIANS(100.4542+0.0000276854*(K181+1.5))</f>
        <v>1.7577916810978944</v>
      </c>
      <c r="FS181" s="19">
        <f>RADIANS(1.303-0.0000001557*(K181+1.5))</f>
        <v>2.27161349462323E-2</v>
      </c>
      <c r="FT181" s="19">
        <f>RADIANS(273.8777+0.0000164505*(K181+1.5))</f>
        <v>4.7827623681645397</v>
      </c>
      <c r="FU181" s="19">
        <f>5.20256</f>
        <v>5.2025600000000001</v>
      </c>
      <c r="FV181" s="19">
        <f>0.048498+0.000000004469*(K181+1.5)</f>
        <v>4.853994432709028E-2</v>
      </c>
      <c r="FW181" s="19">
        <f>MOD(RADIANS(19.895+0.0830853001*(K181+1.5)),2*PI())</f>
        <v>1.3910604489046783</v>
      </c>
      <c r="FX181" s="19">
        <f>FW181+FV181*SIN(FW181)*(1+FV181*COS(FW181))</f>
        <v>1.4392328793604412</v>
      </c>
      <c r="FY181" s="19">
        <f>FU181*(COS(FX181)-FV181)</f>
        <v>0.42996189883326419</v>
      </c>
      <c r="FZ181" s="19">
        <f>FU181*(SQRT(1-FV181*FV181)*SIN(FX181))</f>
        <v>5.1515199456250444</v>
      </c>
      <c r="GA181" s="2">
        <f>MOD(RADIANS(IF(FY181&gt;0,DEGREES(ATAN(FZ181/FY181)),IF(FY181=0,IF(FZ181&lt;0,-90,90),DEGREES(ATAN(FZ181/FY181))+180))),2*PI())</f>
        <v>1.4875262102130977</v>
      </c>
      <c r="GB181" s="19">
        <f>SQRT(FY181*FY181+FZ181*FZ181)</f>
        <v>5.1694317854693628</v>
      </c>
      <c r="GC181" s="19">
        <f>GB181*(COS(FR181)*COS(GA181+FT181)-SIN(FR181)*SIN(GA181+FT181)*COS(FS181))</f>
        <v>-0.89546824995650243</v>
      </c>
      <c r="GD181" s="19">
        <f>GB181*(SIN(FR181)*COS(GA181+FT181)+COS(FR181)*SIN(GA181+FT181)*COS(FS181))</f>
        <v>5.0912826777624325</v>
      </c>
      <c r="GE181" s="19">
        <f>GB181*(SIN(GA181+FT181)*SIN(FS181))</f>
        <v>-1.5142843204084663E-3</v>
      </c>
      <c r="GF181" s="19">
        <f>DEGREES(RADIANS(IF(GC181&gt;0,DEGREES(ATAN(GD181/GC181)),IF(GC181=0,IF(GD181&lt;0,-90,90),DEGREES(ATAN(GD181/GC181))+180))))+GK181</f>
        <v>99.975483320797522</v>
      </c>
      <c r="GG181" s="19">
        <f>(-0.332*SIN(2*FW181-5*HF181-RADIANS(67.6))-0.056*SIN(2*FW181-2*HF181+RADIANS(21))+0.042*SIN(3*FW181-5*HF181+RADIANS(21))-0.036*SIN(FW181-2*HF181)+0.022*COS(FW181-HF181)+0.023*SIN(2*FW181-3*HF181+RADIANS(52))-0.016*SIN(FW181-5*HF181-RADIANS(69)))</f>
        <v>-5.6483221224780389E-3</v>
      </c>
      <c r="GH181" s="2">
        <f>GF181+GG181</f>
        <v>99.96983499867504</v>
      </c>
      <c r="GI181" s="2">
        <f>SQRT(GC181*GC181+GD181*GD181)</f>
        <v>5.1694315636793151</v>
      </c>
      <c r="GJ181" s="2">
        <f>DEGREES(RADIANS(IF(GI181&gt;0,DEGREES(ATAN(GE181/GI181)),IF(GI181=0,IF(GE181&lt;0,-90,90),DEGREES(ATAN(GE181/GI181))+180))))</f>
        <v>-1.6783682498130007E-2</v>
      </c>
      <c r="GK181" s="19">
        <f>0.0000382394*(365.2422*((2000-(36526-$L$4)/365)-2000)-($K181+1.5))</f>
        <v>1.7623801096053581E-4</v>
      </c>
      <c r="GL181" s="19">
        <f>GB181*COS(RADIANS(GH181))*COS(RADIANS(GJ181))</f>
        <v>-0.89498199841693415</v>
      </c>
      <c r="GM181" s="19">
        <f>GB181*SIN(RADIANS(GH181))*COS(RADIANS(GJ181))</f>
        <v>5.0913681770299801</v>
      </c>
      <c r="GN181" s="19">
        <f>GB181*SIN(RADIANS(GJ181))</f>
        <v>-1.5142843204084661E-3</v>
      </c>
      <c r="GO181" s="13">
        <f>$AT181*COS($AU181+RADIANS(GK181))</f>
        <v>-0.98545333118901213</v>
      </c>
      <c r="GP181" s="13">
        <f>$AT181*SIN($AU181+RADIANS(GK181))</f>
        <v>0.20664597835655049</v>
      </c>
      <c r="GQ181" s="13">
        <f t="shared" ref="GQ181:GR183" si="11">GL181+GO181</f>
        <v>-1.8804353296059464</v>
      </c>
      <c r="GR181" s="2">
        <f t="shared" si="11"/>
        <v>5.2980141553865305</v>
      </c>
      <c r="GS181" s="2">
        <f>GN181</f>
        <v>-1.5142843204084661E-3</v>
      </c>
      <c r="GT181" s="2">
        <f>GQ181</f>
        <v>-1.8804353296059464</v>
      </c>
      <c r="GU181" s="19">
        <f>GR181*COS(RADIANS($AB181))-GS181*SIN(RADIANS($AB181))</f>
        <v>4.8615578652734168</v>
      </c>
      <c r="GV181" s="2">
        <f>GR181*SIN(RADIANS($AB181))+GS181*COS(RADIANS($AB181))</f>
        <v>2.1057567300928284</v>
      </c>
      <c r="GW181" s="23">
        <f>DEGREES(RADIANS(IF(GT181&gt;0,DEGREES(ATAN(GU181/GT181)),IF(GT181=0,IF(GU181&lt;0,-90,90),DEGREES(ATAN(GU181/GT181))+180))))</f>
        <v>111.14631395900227</v>
      </c>
      <c r="GX181" s="2">
        <f>SQRT(GT181*GT181+GU181*GU181)</f>
        <v>5.2125600146407951</v>
      </c>
      <c r="GY181" s="23">
        <f>DEGREES(RADIANS(IF(GX181&gt;0,DEGREES(ATAN(GV181/GX181)),IF(GX181=0,IF(GV181&lt;0,-90,90),DEGREES(ATAN(GV181/GX181))+180))))</f>
        <v>21.997597742226962</v>
      </c>
      <c r="GZ181" s="2">
        <f>MOD($AG181-GW181-180,360)</f>
        <v>101.24555082366265</v>
      </c>
      <c r="HA181" s="19">
        <f>RADIANS(113.6634+0.000023898*(K181+1.5))</f>
        <v>1.9877152988954052</v>
      </c>
      <c r="HB181" s="19">
        <f>RADIANS(2.4886-0.0000001081*(K181+1.5))</f>
        <v>4.3416555910897499E-2</v>
      </c>
      <c r="HC181" s="19">
        <f>RADIANS(339.3939+0.0000297661*(K181+1.5))</f>
        <v>5.9284169991621463</v>
      </c>
      <c r="HD181" s="19">
        <f>9.55475</f>
        <v>9.5547500000000003</v>
      </c>
      <c r="HE181" s="19">
        <f>0.055546-0.000000009499*(K181+1.5)</f>
        <v>5.5456846014090275E-2</v>
      </c>
      <c r="HF181" s="2">
        <f>MOD(RADIANS(316.967+0.0334442282*(K181+1.5)),2*PI())</f>
        <v>4.7274293909587968</v>
      </c>
      <c r="HG181" s="19">
        <f>HF181+HE181*SIN(HF181)*(1+HE181*COS(HF181))</f>
        <v>4.6719325681503925</v>
      </c>
      <c r="HH181" s="19">
        <f>HD181*(COS(HG181)-HE181)</f>
        <v>-0.91632176686175182</v>
      </c>
      <c r="HI181" s="19">
        <f>HD181*(SQRT(1-HE181*HE181)*SIN(HG181))</f>
        <v>-9.5322399183121291</v>
      </c>
      <c r="HJ181" s="2">
        <f>MOD(RADIANS(IF(HH181&gt;0,DEGREES(ATAN(HI181/HH181)),IF(HH181=0,IF(HI181&lt;0,-90,90),DEGREES(ATAN(HI181/HH181))+180))),2*PI())</f>
        <v>4.6165547558399114</v>
      </c>
      <c r="HK181" s="19">
        <f>SQRT(HH181*HH181+HI181*HI181)</f>
        <v>9.5761810467789239</v>
      </c>
      <c r="HL181" s="19">
        <f>HK181*(COS(HA181)*COS(HJ181+HC181)-SIN(HA181)*SIN(HJ181+HC181)*COS(HB181))</f>
        <v>9.5633215424590805</v>
      </c>
      <c r="HM181" s="19">
        <f>HK181*(SIN(HA181)*COS(HJ181+HC181)+COS(HA181)*SIN(HJ181+HC181)*COS(HB181))</f>
        <v>-0.32578840444328988</v>
      </c>
      <c r="HN181" s="19">
        <f>HK181*(SIN(HJ181+HC181)*SIN(HB181))</f>
        <v>-0.37414760690971693</v>
      </c>
      <c r="HO181" s="19">
        <f>DEGREES(RADIANS(IF(HL181&gt;0,DEGREES(ATAN(HM181/HL181)),IF(HL181=0,IF(HM181&lt;0,-90,90),DEGREES(ATAN(HM181/HL181))+180))))+HV181</f>
        <v>-1.950932970216757</v>
      </c>
      <c r="HP181" s="19">
        <f>0.812*SIN(2*FW181-5*HF181-RADIANS(67.6))-0.229*COS(2*FW181-4*HF181-RADIANS(2))+0.119*SIN(FW181-2*HF181-RADIANS(3))+0.046*SIN(2*FW181-6*HF181-RADIANS(69))+0.014*SIN(FW181-3*HF181+RADIANS(32))</f>
        <v>8.5047870111704046E-2</v>
      </c>
      <c r="HQ181" s="2">
        <f>HO181+HP181</f>
        <v>-1.8658851001050529</v>
      </c>
      <c r="HR181" s="2">
        <f>SQRT(HL181*HL181+HM181*HM181)</f>
        <v>9.568869160404045</v>
      </c>
      <c r="HS181" s="2">
        <f>DEGREES(RADIANS(IF(HR181&gt;0,DEGREES(ATAN(HN181/HR181)),IF(HR181=0,IF(HN181&lt;0,-90,90),DEGREES(ATAN(HN181/HR181))+180))))</f>
        <v>-2.2391532116935475</v>
      </c>
      <c r="HT181" s="2">
        <f>-0.02*COS(2*FW181-4*HF181-RADIANS(2))+0.018*SIN(2*FW181-6*HF181-RADIANS(49))</f>
        <v>6.0170858237032498E-4</v>
      </c>
      <c r="HU181" s="2">
        <f>HS181+HT181</f>
        <v>-2.2385515031111773</v>
      </c>
      <c r="HV181" s="19">
        <f>0.0000382394*(365.2422*((2000-(36526-$L$4)/365)-2000)-($K181+1.5))</f>
        <v>1.7623801096053581E-4</v>
      </c>
      <c r="HW181" s="19">
        <f>HK181*COS(RADIANS(HQ181))*COS(RADIANS(HU181))</f>
        <v>9.5637994806811779</v>
      </c>
      <c r="HX181" s="19">
        <f>HK181*SIN(RADIANS(HQ181))*COS(RADIANS(HU181))</f>
        <v>-0.31156329788644027</v>
      </c>
      <c r="HY181" s="19">
        <f>HK181*SIN(RADIANS(HU181))</f>
        <v>-0.37404711657817186</v>
      </c>
      <c r="HZ181" s="13">
        <f>$AT181*COS($AU181+RADIANS(HV181))</f>
        <v>-0.98545333118901213</v>
      </c>
      <c r="IA181" s="13">
        <f>$AT181*SIN($AU181+RADIANS(HV181))</f>
        <v>0.20664597835655049</v>
      </c>
      <c r="IB181" s="13">
        <f t="shared" ref="IB181:IC183" si="12">HW181+HZ181</f>
        <v>8.578346149492166</v>
      </c>
      <c r="IC181" s="2">
        <f t="shared" si="12"/>
        <v>-0.10491731952988978</v>
      </c>
      <c r="ID181" s="2">
        <f>HY181</f>
        <v>-0.37404711657817186</v>
      </c>
      <c r="IE181" s="2">
        <f>IB181</f>
        <v>8.578346149492166</v>
      </c>
      <c r="IF181" s="19">
        <f>IC181*COS(RADIANS($AB181))-ID181*SIN(RADIANS($AB181))</f>
        <v>5.2505237002751531E-2</v>
      </c>
      <c r="IG181" s="2">
        <f>IC181*SIN(RADIANS($AB181))+ID181*COS(RADIANS($AB181))</f>
        <v>-0.38491828930964866</v>
      </c>
      <c r="IH181" s="23">
        <f>DEGREES(RADIANS(IF(IE181&gt;0,DEGREES(ATAN(IF181/IE181)),IF(IE181=0,IF(IF181&lt;0,-90,90),DEGREES(ATAN(IF181/IE181))+180))))</f>
        <v>0.35068425363028177</v>
      </c>
      <c r="II181" s="2">
        <f>SQRT(IE181*IE181+IF181*IF181)</f>
        <v>8.5785068316356661</v>
      </c>
      <c r="IJ181" s="23">
        <f>DEGREES(RADIANS(IF(II181&gt;0,DEGREES(ATAN(IG181/II181)),IF(II181=0,IF(IG181&lt;0,-90,90),DEGREES(ATAN(IG181/II181))+180))))</f>
        <v>-2.5691429726167434</v>
      </c>
      <c r="IK181" s="2">
        <f>MOD($AG181-IH181-180,360)</f>
        <v>212.04118052903465</v>
      </c>
    </row>
    <row r="182" spans="2:245" s="2" customFormat="1" ht="15" customHeight="1">
      <c r="B182" s="20" t="s">
        <v>153</v>
      </c>
      <c r="C182" s="2">
        <f>(1+37/60+43/3600)</f>
        <v>1.6286111111111112</v>
      </c>
      <c r="D182" s="2">
        <f>-57-14.6/60</f>
        <v>-57.243333333333332</v>
      </c>
      <c r="E182" s="17">
        <f t="shared" ref="E182:E237" si="13">MOD(360-(C182+((3.075+1.336*SIN(RADIANS(C182))*TAN(RADIANS(D182)))*($L$4-36526)/365)/3600)*15,360)</f>
        <v>335.24775123027018</v>
      </c>
      <c r="F182" s="17">
        <f t="shared" si="4"/>
        <v>-57.113029395100511</v>
      </c>
      <c r="G182" s="17">
        <f t="shared" si="5"/>
        <v>-14.072369883828495</v>
      </c>
      <c r="H182" s="17">
        <f t="shared" si="6"/>
        <v>4.2833657197078132</v>
      </c>
      <c r="I182" s="19">
        <f t="shared" si="7"/>
        <v>335.25064654665738</v>
      </c>
      <c r="J182" s="19">
        <f t="shared" si="8"/>
        <v>-57.11441136241384</v>
      </c>
      <c r="K182" s="20">
        <f>-36525+$L$4-1.5+L6/24</f>
        <v>9384.0833333333339</v>
      </c>
      <c r="L182" s="20">
        <f>360-MOD(280.46061837+360.98564736629*(K182),360)</f>
        <v>160.14235908398405</v>
      </c>
      <c r="M182" s="2">
        <f>K182/36525</f>
        <v>0.256922199406799</v>
      </c>
      <c r="N182" s="15">
        <f>MOD(125.04452-1934.136261*M182,360)</f>
        <v>348.12197787143737</v>
      </c>
      <c r="O182" s="15">
        <f>MOD(280.4665+36000.7698*M182,360)</f>
        <v>169.86345735386749</v>
      </c>
      <c r="P182" s="15">
        <f>MOD(218.3165+481267.8813*M182,360)</f>
        <v>26.719067446276313</v>
      </c>
      <c r="Q182" s="15">
        <f>MOD(23.4393-0.0000003563*K182,360)</f>
        <v>23.435956451108332</v>
      </c>
      <c r="R182" s="15">
        <f>-(17.2*SIN(RADIANS(N182))-1.32*SIN(RADIANS(2*O182))-0.23*SIN(RADIANS(2*P182))+0.21*SIN(RADIANS(2*N182)))</f>
        <v>3.3522187156022456</v>
      </c>
      <c r="S182" s="15">
        <f>9.2*COS(RADIANS(N182))+0.57*COS(RADIANS(2*O182))+0.1*COS(RADIANS(2*P182))-0.09*COS(RADIANS(2*N182))</f>
        <v>9.5148940537650972</v>
      </c>
      <c r="T182" s="15">
        <f>S182+Q182</f>
        <v>32.950850504873429</v>
      </c>
      <c r="U182" s="15">
        <f>R182*COS(RADIANS(T182))/3600</f>
        <v>7.8138119572092291E-4</v>
      </c>
      <c r="V182" s="15">
        <f>MOD(360-L182-U182,360)</f>
        <v>199.85685953482025</v>
      </c>
      <c r="W182" s="15">
        <f>MOD(280.461+0.9856474*K182,360)</f>
        <v>169.85833888333218</v>
      </c>
      <c r="X182" s="15">
        <f>MOD(357.528+35999.05*M182,360)</f>
        <v>246.48310255532851</v>
      </c>
      <c r="Y182" s="15">
        <f>1.915*SIN(RADIANS(X182))+0.02*SIN(RADIANS(2*X182))</f>
        <v>-1.7413096500919261</v>
      </c>
      <c r="Z182" s="15">
        <f>W182+Y182</f>
        <v>168.11702923324026</v>
      </c>
      <c r="AA182" s="15">
        <f>-Y182+2.466*SIN(RADIANS(2*Z182))-0.053*SIN(RADIANS(4*Z182))</f>
        <v>0.78660395490105151</v>
      </c>
      <c r="AB182" s="15">
        <f>Q182</f>
        <v>23.435956451108332</v>
      </c>
      <c r="AC182" s="15">
        <f>DEGREES(ASIN(SIN(RADIANS(AB182))*SIN(RADIANS(Z182))))</f>
        <v>4.6975924529938728</v>
      </c>
      <c r="AD182" s="15">
        <f>COS(RADIANS(AB182))*SIN(RADIANS(Z182))</f>
        <v>0.18892656951577363</v>
      </c>
      <c r="AE182" s="15">
        <f>COS(RADIANS(Z182))</f>
        <v>-0.97857022910354252</v>
      </c>
      <c r="AF182" s="15">
        <f>MOD(IF(AE182&lt;0,DEGREES(ATAN(AD182/AE182))+180,DEGREES(ATAN(AD182/AE182))),360)</f>
        <v>169.07269737162926</v>
      </c>
      <c r="AG182" s="15">
        <f>180-L182</f>
        <v>19.857640916015953</v>
      </c>
      <c r="AH182" s="15">
        <f>MOD(AG182-AF182+180,360)</f>
        <v>30.784943544386692</v>
      </c>
      <c r="AI182" s="15">
        <v>0</v>
      </c>
      <c r="AJ182" s="21">
        <v>0</v>
      </c>
      <c r="AK182" s="21">
        <f>RADIANS(282.9404+0.0000470935*(K182+1.5))</f>
        <v>4.9459559216574362</v>
      </c>
      <c r="AL182" s="15">
        <v>1</v>
      </c>
      <c r="AM182" s="21">
        <f>0.016709-0.000000001151*(K182+1.5)</f>
        <v>1.6698197193583335E-2</v>
      </c>
      <c r="AN182" s="21">
        <f>MOD(RADIANS(356.047+0.9856002585*(K182+1.5)),2*PI())</f>
        <v>4.3018938148899366</v>
      </c>
      <c r="AO182" s="21">
        <f>AN182+AM182*SIN(AN182)*(1+AM182*COS(AN182))</f>
        <v>4.2866848750284143</v>
      </c>
      <c r="AP182" s="21">
        <f>RADIANS(MOD(23.4393-0.0000003563*(K182+1.5),360))</f>
        <v>0.40903459409793369</v>
      </c>
      <c r="AQ182" s="21">
        <f>COS(AO182)-AM182</f>
        <v>-0.42966034392868424</v>
      </c>
      <c r="AR182" s="21">
        <f>SQRT(1-AM182*AM182)*SIN(AO182)</f>
        <v>-0.91062120916167677</v>
      </c>
      <c r="AS182" s="15">
        <f>MOD(RADIANS(IF(AQ182&gt;0,DEGREES(ATAN(AR182/AQ182)),IF(AQ182=0,IF(AR182&lt;0,-90,90),DEGREES(ATAN(AR182/AQ182))+180))),2*PI())</f>
        <v>4.2715285137366807</v>
      </c>
      <c r="AT182" s="21">
        <f>SQRT(AQ182*AQ182+AR182*AR182)</f>
        <v>1.0068957233596683</v>
      </c>
      <c r="AU182" s="22">
        <f>AS182+AK182</f>
        <v>9.2174844353941161</v>
      </c>
      <c r="AV182" s="21">
        <f>AT182*COS(AU182)</f>
        <v>-0.98533961985380381</v>
      </c>
      <c r="AW182" s="15">
        <f>AT182*SIN(AU182)</f>
        <v>0.20723134720970895</v>
      </c>
      <c r="AX182" s="21">
        <f>AV182</f>
        <v>-0.98533961985380381</v>
      </c>
      <c r="AY182" s="15">
        <f>AW182*COS(AP182)</f>
        <v>0.19013584181212911</v>
      </c>
      <c r="AZ182" s="15">
        <f>AW182*SIN(AP182)</f>
        <v>8.2420828221657444E-2</v>
      </c>
      <c r="BA182" s="15">
        <f>DEGREES(MOD(RADIANS(IF(AX182&gt;0,DEGREES(ATAN(AY182/AX182)),IF(AX182=0,IF(AY182&lt;0,-90,90),DEGREES(ATAN(AY182/AX182))+180))),PI()))</f>
        <v>169.07817175302529</v>
      </c>
      <c r="BB182" s="15">
        <f>SQRT(AX182*AX182+AY182*AY182)</f>
        <v>1.0035167187422667</v>
      </c>
      <c r="BC182" s="15">
        <f>DEGREES(RADIANS(IF(BB182&gt;0,DEGREES(ATAN(AZ182/BB182)),IF(BB182=0,IF(AZ182&lt;0,-90,90),DEGREES(ATAN(AZ182/BB182))+180))))</f>
        <v>4.6952779028984573</v>
      </c>
      <c r="BD182" s="19">
        <f>RADIANS(125.1228-0.0529538083*(K182+1.5))</f>
        <v>-6.4905231027024826</v>
      </c>
      <c r="BE182" s="2">
        <f>RADIANS(5.1454)</f>
        <v>8.9804171332116239E-2</v>
      </c>
      <c r="BF182" s="19">
        <f>RADIANS(318.0634+0.1643573223*(K182+1.5))</f>
        <v>32.474516634603653</v>
      </c>
      <c r="BG182" s="2">
        <f>60.2666</f>
        <v>60.266599999999997</v>
      </c>
      <c r="BH182" s="19">
        <f>0.0549</f>
        <v>5.4899999999999997E-2</v>
      </c>
      <c r="BI182" s="19">
        <f>MOD(RADIANS(115.3654+13.0649929509*(K182+1.5)),2*PI())</f>
        <v>5.8982614942410976</v>
      </c>
      <c r="BJ182" s="19">
        <f>BI182+BH182*SIN(BI182)*(1+BH182*COS(BI182))</f>
        <v>5.8765982597648829</v>
      </c>
      <c r="BK182" s="19">
        <f>BG182*(COS(BJ182)-BH182)</f>
        <v>52.044784148115227</v>
      </c>
      <c r="BL182" s="19">
        <f>BG182*(SQRT(1-BH182*BH182)*SIN(BJ182))</f>
        <v>-23.798104368436313</v>
      </c>
      <c r="BM182" s="2">
        <f>MOD(RADIANS(IF(BK182&gt;0,DEGREES(ATAN(BL182/BK182)),IF(BK182=0,IF(BL182&lt;0,-90,90),DEGREES(ATAN(BL182/BK182))+180))),2*PI())</f>
        <v>5.8543086996736697</v>
      </c>
      <c r="BN182" s="19">
        <f>SQRT(BK182*BK182+BL182*BL182)</f>
        <v>57.227697215202483</v>
      </c>
      <c r="BO182" s="19">
        <f>BN182*(COS(BD182)*COS(BM182+BF182)-SIN(BD182)*SIN(BM182+BF182)*COS(BE182))</f>
        <v>52.170435653516769</v>
      </c>
      <c r="BP182" s="19">
        <f>BN182*(SIN(BD182)*COS(BM182+BF182)+COS(BD182)*SIN(BM182+BF182)*COS(BE182))</f>
        <v>23.326364977511471</v>
      </c>
      <c r="BQ182" s="19">
        <f>BN182*(SIN(BM182+BF182)*SIN(BE182))</f>
        <v>3.0225269582067447</v>
      </c>
      <c r="BR182" s="2">
        <f>DEGREES(RADIANS(IF(BO182&gt;0,DEGREES(ATAN(BP182/BO182)),IF(BO182=0,IF(BP182&lt;0,-90,90),DEGREES(ATAN(BP182/BO182))+180))))</f>
        <v>24.090300125057439</v>
      </c>
      <c r="BS182" s="2">
        <f>SQRT(BO182*BO182+BP182*BP182)</f>
        <v>57.147822874907561</v>
      </c>
      <c r="BT182" s="2">
        <f>DEGREES(RADIANS(IF(BS182&gt;0,DEGREES(ATAN(BQ182/BS182)),IF(BS182=0,IF(BQ182&lt;0,-90,90),DEGREES(ATAN(BQ182/BS182))+180))))</f>
        <v>3.0275314482806093</v>
      </c>
      <c r="BU182" s="2">
        <f>AN182+AK182</f>
        <v>9.2478497365473729</v>
      </c>
      <c r="BV182" s="2">
        <f>BI182+BF182+BD182</f>
        <v>31.882255026142268</v>
      </c>
      <c r="BW182" s="2">
        <f>BV182-BU182</f>
        <v>22.634405289594895</v>
      </c>
      <c r="BX182" s="19">
        <f>BV182-BD182</f>
        <v>38.37277812884475</v>
      </c>
      <c r="BY182" s="2">
        <f>-1.274*SIN(BI182-2*BW182)</f>
        <v>1.2675535296540532</v>
      </c>
      <c r="BZ182" s="19">
        <f>BY182+0.658*SIN(2*BW182)</f>
        <v>1.8991433997773413</v>
      </c>
      <c r="CA182" s="19">
        <f>BZ182-0.186*SIN(AN182)</f>
        <v>2.0696911396791942</v>
      </c>
      <c r="CB182" s="19">
        <f>CA182-0.059*SIN(2*BI182-2*BW182)</f>
        <v>2.1218714197799802</v>
      </c>
      <c r="CC182" s="19">
        <f>CB182-0.057*SIN(BI182-2*BW182+AN182)</f>
        <v>2.0939888187166136</v>
      </c>
      <c r="CD182" s="19">
        <f>CC182+0.053*SIN(BI182+2*BW182)</f>
        <v>2.135557462872288</v>
      </c>
      <c r="CE182" s="19">
        <f>CD182+0.046*SIN(2*BW182-AN182)</f>
        <v>2.1297671001448188</v>
      </c>
      <c r="CF182" s="19">
        <f>CE182+0.041*SIN(BI182-AN182)</f>
        <v>2.170753696046781</v>
      </c>
      <c r="CG182" s="19">
        <f>CF182-0.035*SIN(BW182)</f>
        <v>2.1917468523785448</v>
      </c>
      <c r="CH182" s="19">
        <f>CG182-0.031*SIN(BI182+AN182)</f>
        <v>2.2134464063235759</v>
      </c>
      <c r="CI182" s="19">
        <f>CH182-0.015*SIN(2*BX182-2*BW182)</f>
        <v>2.2125346815007116</v>
      </c>
      <c r="CJ182" s="19">
        <f>CI182+0.011*SIN(BI182-4*BW182)</f>
        <v>2.2105259547810241</v>
      </c>
      <c r="CK182" s="2">
        <f>RADIANS(CJ182+BR182)</f>
        <v>0.45903601108757419</v>
      </c>
      <c r="CL182" s="19">
        <f>-0.173*SIN(BX182-2*BW182)</f>
        <v>9.9509390722807511E-2</v>
      </c>
      <c r="CM182" s="19">
        <f>CL182-0.055*SIN(BI182-BX182-2*BW182)</f>
        <v>0.13882920011284325</v>
      </c>
      <c r="CN182" s="19">
        <f>CM182-0.046*SIN(BI182+BX182-2*BW182)</f>
        <v>0.17748136885014235</v>
      </c>
      <c r="CO182" s="19">
        <f>CN182+0.033*SIN(BX182+2*BW182)</f>
        <v>0.20801109817213137</v>
      </c>
      <c r="CP182" s="19">
        <f>CO182+0.017*SIN(2*BI182+BX182)</f>
        <v>0.20637853520876934</v>
      </c>
      <c r="CQ182" s="2">
        <f>RADIANS(CP182+BT182)</f>
        <v>5.6442376925005117E-2</v>
      </c>
      <c r="CR182" s="19">
        <f>BN182-0.58*COS(BI182-2*BW182)</f>
        <v>57.285970458578653</v>
      </c>
      <c r="CS182" s="19">
        <f>CR182-0.46*COS(2*BW182)</f>
        <v>57.156954624903776</v>
      </c>
      <c r="CT182" s="19">
        <f>CS182*COS(CK182)*COS(CQ182)</f>
        <v>51.158471940469184</v>
      </c>
      <c r="CU182" s="19">
        <f>CS182*SIN(CK182)*COS(CQ182)</f>
        <v>25.28500943366091</v>
      </c>
      <c r="CV182" s="19">
        <f>CS182*SIN(CQ182)</f>
        <v>3.2243617429213889</v>
      </c>
      <c r="CW182" s="15">
        <f>CT182</f>
        <v>51.158471940469184</v>
      </c>
      <c r="CX182" s="15">
        <f>CU182*COS(AP182)-CV182*SIN(AP182)</f>
        <v>21.9167227821127</v>
      </c>
      <c r="CY182" s="21">
        <f>CU182*SIN(AP182)+CV182*COS(AP182)</f>
        <v>13.014817447876803</v>
      </c>
      <c r="CZ182" s="15">
        <f>DEGREES(RADIANS(IF(CW182&gt;0,DEGREES(ATAN(CX182/CW182)),IF(CW182=0,IF(CX182&lt;0,-90,90),DEGREES(ATAN(CX182/CW182))+180))))</f>
        <v>23.190702115324321</v>
      </c>
      <c r="DA182" s="15">
        <f>SQRT(CW182*CW182+CX182*CX182)</f>
        <v>55.655475820369652</v>
      </c>
      <c r="DB182" s="15">
        <f>DEGREES(RADIANS(IF(DA182&gt;0,DEGREES(ATAN(CY182/DA182)),IF(DA182=0,IF(CY182&lt;0,-90,90),DEGREES(ATAN(CY182/DA182))+180))))</f>
        <v>13.161883003560346</v>
      </c>
      <c r="DC182" s="15">
        <f>MOD(AG182-CZ182-180,360)</f>
        <v>176.66693880069164</v>
      </c>
      <c r="DD182" s="15">
        <f>RADIANS(49.5574+0.0000211081*(K182+1.5))</f>
        <v>0.86839750247568726</v>
      </c>
      <c r="DE182" s="15">
        <f>RADIANS(1.8497-0.0000000178*(K182+1.5))</f>
        <v>3.2280439368040426E-2</v>
      </c>
      <c r="DF182" s="15">
        <f>RADIANS(286.5016+0.0000292961*(K182+1.5))</f>
        <v>5.0051952067850323</v>
      </c>
      <c r="DG182" s="15">
        <f>1.523688</f>
        <v>1.5236879999999999</v>
      </c>
      <c r="DH182" s="15">
        <f>0.093405+0.000000002516*(K182+1.5)</f>
        <v>9.3428614127666662E-2</v>
      </c>
      <c r="DI182" s="15">
        <f>MOD(RADIANS(18.6021+0.5240207766*(K182+1.5)),2*PI())</f>
        <v>4.4827519471779951</v>
      </c>
      <c r="DJ182" s="21">
        <f>DI182+DH182*SIN(DI182)*(1+DH182*COS(DI182))</f>
        <v>4.3937106713635732</v>
      </c>
      <c r="DK182" s="21">
        <f>DG182*(COS(DJ182)-DH182)</f>
        <v>-0.61974532103301616</v>
      </c>
      <c r="DL182" s="21">
        <f>DG182*(SQRT(1-DH182*DH182)*SIN(DJ182))</f>
        <v>-1.4406417625042383</v>
      </c>
      <c r="DM182" s="15">
        <f>MOD(RADIANS(IF(DK182&gt;0,DEGREES(ATAN(DL182/DK182)),IF(DK182=0,IF(DL182&lt;0,-90,90),DEGREES(ATAN(DL182/DK182))+180))),2*PI())</f>
        <v>4.3061331351388077</v>
      </c>
      <c r="DN182" s="21">
        <f>SQRT(DK182*DK182+DL182*DL182)</f>
        <v>1.568289817225641</v>
      </c>
      <c r="DO182" s="21">
        <f>DN182*(COS(DD182)*COS(DM182+DF182)-SIN(DD182)*SIN(DM182+DF182)*COS(DE182))</f>
        <v>-1.1421262555367349</v>
      </c>
      <c r="DP182" s="21">
        <f>DN182*(SIN(DD182)*COS(DM182+DF182)+COS(DD182)*SIN(DM182+DF182)*COS(DE182))</f>
        <v>-1.074731470326183</v>
      </c>
      <c r="DQ182" s="21">
        <f>DN182*(SIN(DM182+DF182)*SIN(DE182))</f>
        <v>5.7300888118529186E-3</v>
      </c>
      <c r="DR182" s="15">
        <f>DEGREES(RADIANS(IF(DO182&gt;0,DEGREES(ATAN(DP182/DO182)),IF(DO182=0,IF(DP182&lt;0,-90,90),DEGREES(ATAN(DP182/DO182))+180))))+DU182</f>
        <v>223.25886247912956</v>
      </c>
      <c r="DS182" s="15">
        <f>SQRT(DO182*DO182+DP182*DP182)</f>
        <v>1.5682793491262461</v>
      </c>
      <c r="DT182" s="15">
        <f>DEGREES(RADIANS(IF(DS182&gt;0,DEGREES(ATAN(DQ182/DS182)),IF(DS182=0,IF(DQ182&lt;0,-90,90),DEGREES(ATAN(DQ182/DS182))+180))))</f>
        <v>0.20934308953824551</v>
      </c>
      <c r="DU182" s="21">
        <f>0.0000382394*(365.2422*((2000-(36526-$L$4)/365)-2000)-($K182+1.5))</f>
        <v>1.7756576790492614E-4</v>
      </c>
      <c r="DV182" s="21">
        <f>DN182*COS(RADIANS(DR182))*COS(RADIANS(DT182))</f>
        <v>-1.1421229248231175</v>
      </c>
      <c r="DW182" s="21">
        <f>DN182*SIN(RADIANS(DR182))*COS(RADIANS(DT182))</f>
        <v>-1.0747350098928248</v>
      </c>
      <c r="DX182" s="21">
        <f>DN182*SIN(RADIANS(DT182))</f>
        <v>5.7300888118529195E-3</v>
      </c>
      <c r="DY182" s="10">
        <f>$AT182*COS($AU182+RADIANS(DU182))</f>
        <v>-0.98534026208125058</v>
      </c>
      <c r="DZ182" s="10">
        <f>$AT182*SIN($AU182+RADIANS(DU182))</f>
        <v>0.20722829353551575</v>
      </c>
      <c r="EA182" s="10">
        <f t="shared" si="9"/>
        <v>-2.1274631869043681</v>
      </c>
      <c r="EB182" s="15">
        <f t="shared" si="9"/>
        <v>-0.86750671635730903</v>
      </c>
      <c r="EC182" s="15">
        <f>DX182</f>
        <v>5.7300888118529195E-3</v>
      </c>
      <c r="ED182" s="15">
        <f>EA182</f>
        <v>-2.1274631869043681</v>
      </c>
      <c r="EE182" s="21">
        <f>EB182*COS(RADIANS($AB182))-EC182*SIN(RADIANS($AB182))</f>
        <v>-0.79822092568720571</v>
      </c>
      <c r="EF182" s="15">
        <f>EB182*SIN(RADIANS($AB182))+EC182*COS(RADIANS($AB182))</f>
        <v>-0.33977064416734526</v>
      </c>
      <c r="EG182" s="15">
        <f>DEGREES(RADIANS(IF(ED182&gt;0,DEGREES(ATAN(EE182/ED182)),IF(ED182=0,IF(EE182&lt;0,-90,90),DEGREES(ATAN(EE182/ED182))+180))))</f>
        <v>200.56601393169078</v>
      </c>
      <c r="EH182" s="15">
        <f>SQRT(ED182*ED182+EE182*EE182)</f>
        <v>2.2722799690703233</v>
      </c>
      <c r="EI182" s="15">
        <f>DEGREES(RADIANS(IF(EH182&gt;0,DEGREES(ATAN(EF182/EH182)),IF(EH182=0,IF(EF182&lt;0,-90,90),DEGREES(ATAN(EF182/EH182))+180))))</f>
        <v>-8.5043439960205927</v>
      </c>
      <c r="EJ182" s="15">
        <f>MOD($AG182-EG182-180,360)</f>
        <v>359.29162698432515</v>
      </c>
      <c r="EK182" s="19">
        <f>RADIANS(76.6799+0.000024659*(K182+1.5))</f>
        <v>1.3423560994026711</v>
      </c>
      <c r="EL182" s="19">
        <f>RADIANS(3.3946+0.0000000275*(K182+1.5))</f>
        <v>5.9251451544812657E-2</v>
      </c>
      <c r="EM182" s="19">
        <f>RADIANS(54.891+0.0000138374*(K182+1.5))</f>
        <v>0.96029537495434147</v>
      </c>
      <c r="EN182" s="19">
        <f>0.72333</f>
        <v>0.72333000000000003</v>
      </c>
      <c r="EO182" s="2">
        <f>0.006773-0.000000001302*(K182+1.5)</f>
        <v>6.7607799705000004E-3</v>
      </c>
      <c r="EP182" s="19">
        <f>MOD(RADIANS(48.0052+1.6021302244*(K182+1.5)),2*PI())</f>
        <v>5.6711320575373421</v>
      </c>
      <c r="EQ182" s="19">
        <f>EP182+EO182*SIN(EP182)*(1+EO182*COS(EP182))</f>
        <v>5.667226162543467</v>
      </c>
      <c r="ER182" s="19">
        <f>EN182*(COS(EQ182)-EO182)</f>
        <v>0.58550590949648951</v>
      </c>
      <c r="ES182" s="19">
        <f>EN182*(SQRT(1-EO182*EO182)*SIN(EQ182))</f>
        <v>-0.41788832461806658</v>
      </c>
      <c r="ET182" s="2">
        <f>MOD(RADIANS(IF(ER182&gt;0,DEGREES(ATAN(ES182/ER182)),IF(ER182=0,IF(ES182&lt;0,-90,90),DEGREES(ATAN(ES182/ER182))+180))),2*PI())</f>
        <v>5.6633093314427363</v>
      </c>
      <c r="EU182" s="19">
        <f>SQRT(ER182*ER182+ES182*ES182)</f>
        <v>0.71933846130135837</v>
      </c>
      <c r="EV182" s="19">
        <f>EU182*(COS(EK182)*COS(ET182+EM182)-SIN(EK182)*SIN(ET182+EM182)*COS(EL182))</f>
        <v>-7.997216654016473E-2</v>
      </c>
      <c r="EW182" s="19">
        <f>EU182*(SIN(EK182)*COS(ET182+EM182)+COS(EK182)*SIN(ET182+EM182)*COS(EL182))</f>
        <v>0.71473771336563785</v>
      </c>
      <c r="EX182" s="19">
        <f>EU182*(SIN(ET182+EM182)*SIN(EL182))</f>
        <v>1.4222361939472862E-2</v>
      </c>
      <c r="EY182" s="2">
        <f>DEGREES(RADIANS(IF(EV182&gt;0,DEGREES(ATAN(EW182/EV182)),IF(EV182=0,IF(EW182&lt;0,-90,90),DEGREES(ATAN(EW182/EV182))+180))))+FB182</f>
        <v>96.384461316278902</v>
      </c>
      <c r="EZ182" s="2">
        <f>SQRT(EV182*EV182+EW182*EW182)</f>
        <v>0.71919784922388952</v>
      </c>
      <c r="FA182" s="2">
        <f>DEGREES(RADIANS(IF(EZ182&gt;0,DEGREES(ATAN(EX182/EZ182)),IF(EZ182=0,IF(EX182&lt;0,-90,90),DEGREES(ATAN(EX182/EZ182))+180))))</f>
        <v>1.1328942603673593</v>
      </c>
      <c r="FB182" s="19">
        <f>0.0000382394*(365.2422*((2000-(36526-$L$4)/365)-2000)-($K182+1.5))</f>
        <v>1.7756576790492614E-4</v>
      </c>
      <c r="FC182" s="19">
        <f>EU182*COS(RADIANS(EY182))*COS(RADIANS(FA182))</f>
        <v>-7.9974381588637455E-2</v>
      </c>
      <c r="FD182" s="19">
        <f>EU182*SIN(RADIANS(EY182))*COS(RADIANS(FA182))</f>
        <v>0.71473746551988127</v>
      </c>
      <c r="FE182" s="19">
        <f>EU182*SIN(RADIANS(FA182))</f>
        <v>1.4222361939472862E-2</v>
      </c>
      <c r="FF182" s="13">
        <f>$AT182*COS($AU182+RADIANS(FB182))</f>
        <v>-0.98534026208125058</v>
      </c>
      <c r="FG182" s="13">
        <f>$AT182*SIN($AU182+RADIANS(FB182))</f>
        <v>0.20722829353551575</v>
      </c>
      <c r="FH182" s="13">
        <f t="shared" si="10"/>
        <v>-1.0653146436698879</v>
      </c>
      <c r="FI182" s="2">
        <f t="shared" si="10"/>
        <v>0.92196575905539702</v>
      </c>
      <c r="FJ182" s="2">
        <f>FE182</f>
        <v>1.4222361939472862E-2</v>
      </c>
      <c r="FK182" s="2">
        <f>FH182</f>
        <v>-1.0653146436698879</v>
      </c>
      <c r="FL182" s="19">
        <f>FI182*COS(RADIANS($AB182))-FJ182*SIN(RADIANS($AB182))</f>
        <v>0.84025181749836264</v>
      </c>
      <c r="FM182" s="2">
        <f>FI182*SIN(RADIANS($AB182))+FJ182*COS(RADIANS($AB182))</f>
        <v>0.37973677678153583</v>
      </c>
      <c r="FN182" s="23">
        <f>DEGREES(RADIANS(IF(FK182&gt;0,DEGREES(ATAN(FL182/FK182)),IF(FK182=0,IF(FL182&lt;0,-90,90),DEGREES(ATAN(FL182/FK182))+180))))</f>
        <v>141.73589026495304</v>
      </c>
      <c r="FO182" s="2">
        <f>SQRT(FK182*FK182+FL182*FL182)</f>
        <v>1.3568044836404403</v>
      </c>
      <c r="FP182" s="23">
        <f>DEGREES(RADIANS(IF(FO182&gt;0,DEGREES(ATAN(FM182/FO182)),IF(FO182=0,IF(FM182&lt;0,-90,90),DEGREES(ATAN(FM182/FO182))+180))))</f>
        <v>15.635648882360941</v>
      </c>
      <c r="FQ182" s="2">
        <f>MOD($AG182-FN182-180,360)</f>
        <v>58.121750651062939</v>
      </c>
      <c r="FR182" s="19">
        <f>RADIANS(100.4542+0.0000276854*(K182+1.5))</f>
        <v>1.7577916643200686</v>
      </c>
      <c r="FS182" s="19">
        <f>RADIANS(1.303-0.0000001557*(K182+1.5))</f>
        <v>2.2716135040589162E-2</v>
      </c>
      <c r="FT182" s="19">
        <f>RADIANS(273.8777+0.0000164505*(K182+1.5))</f>
        <v>4.7827623581952556</v>
      </c>
      <c r="FU182" s="19">
        <f>5.20256</f>
        <v>5.2025600000000001</v>
      </c>
      <c r="FV182" s="19">
        <f>0.048498+0.000000004469*(K182+1.5)</f>
        <v>4.8539944171916663E-2</v>
      </c>
      <c r="FW182" s="19">
        <f>MOD(RADIANS(19.895+0.0830853001*(K182+1.5)),2*PI())</f>
        <v>1.3910100977919448</v>
      </c>
      <c r="FX182" s="19">
        <f>FW182+FV182*SIN(FW182)*(1+FV182*COS(FW182))</f>
        <v>1.4391822021602272</v>
      </c>
      <c r="FY182" s="19">
        <f>FU182*(COS(FX182)-FV182)</f>
        <v>0.43022327146688077</v>
      </c>
      <c r="FZ182" s="19">
        <f>FU182*(SQRT(1-FV182*FV182)*SIN(FX182))</f>
        <v>5.1514853929399198</v>
      </c>
      <c r="GA182" s="2">
        <f>MOD(RADIANS(IF(FY182&gt;0,DEGREES(ATAN(FZ182/FY182)),IF(FY182=0,IF(FZ182&lt;0,-90,90),DEGREES(ATAN(FZ182/FY182))+180))),2*PI())</f>
        <v>1.4874752681503718</v>
      </c>
      <c r="GB182" s="19">
        <f>SQRT(FY182*FY182+FZ182*FZ182)</f>
        <v>5.169419098601411</v>
      </c>
      <c r="GC182" s="19">
        <f>GB182*(COS(FR182)*COS(GA182+FT182)-SIN(FR182)*SIN(GA182+FT182)*COS(FS182))</f>
        <v>-0.89520662174748489</v>
      </c>
      <c r="GD182" s="19">
        <f>GB182*(SIN(FR182)*COS(GA182+FT182)+COS(FR182)*SIN(GA182+FT182)*COS(FS182))</f>
        <v>5.0913158034210904</v>
      </c>
      <c r="GE182" s="19">
        <f>GB182*(SIN(GA182+FT182)*SIN(FS182))</f>
        <v>-1.5202628537487035E-3</v>
      </c>
      <c r="GF182" s="19">
        <f>DEGREES(RADIANS(IF(GC182&gt;0,DEGREES(ATAN(GD182/GC182)),IF(GC182=0,IF(GD182&lt;0,-90,90),DEGREES(ATAN(GD182/GC182))+180))))+GK182</f>
        <v>99.972565103803902</v>
      </c>
      <c r="GG182" s="19">
        <f>(-0.332*SIN(2*FW182-5*HF182-RADIANS(67.6))-0.056*SIN(2*FW182-2*HF182+RADIANS(21))+0.042*SIN(3*FW182-5*HF182+RADIANS(21))-0.036*SIN(FW182-2*HF182)+0.022*COS(FW182-HF182)+0.023*SIN(2*FW182-3*HF182+RADIANS(52))-0.016*SIN(FW182-5*HF182-RADIANS(69)))</f>
        <v>-5.6461789858481444E-3</v>
      </c>
      <c r="GH182" s="2">
        <f>GF182+GG182</f>
        <v>99.96691892481806</v>
      </c>
      <c r="GI182" s="2">
        <f>SQRT(GC182*GC182+GD182*GD182)</f>
        <v>5.1694188750560626</v>
      </c>
      <c r="GJ182" s="2">
        <f>DEGREES(RADIANS(IF(GI182&gt;0,DEGREES(ATAN(GE182/GI182)),IF(GI182=0,IF(GE182&lt;0,-90,90),DEGREES(ATAN(GE182/GI182))+180))))</f>
        <v>-1.6849987370816968E-2</v>
      </c>
      <c r="GK182" s="19">
        <f>0.0000382394*(365.2422*((2000-(36526-$L$4)/365)-2000)-($K182+1.5))</f>
        <v>1.7756576790492614E-4</v>
      </c>
      <c r="GL182" s="19">
        <f>GB182*COS(RADIANS(GH182))*COS(RADIANS(GJ182))</f>
        <v>-0.89472067547497003</v>
      </c>
      <c r="GM182" s="19">
        <f>GB182*SIN(RADIANS(GH182))*COS(RADIANS(GJ182))</f>
        <v>5.0914012235006085</v>
      </c>
      <c r="GN182" s="19">
        <f>GB182*SIN(RADIANS(GJ182))</f>
        <v>-1.5202628537487035E-3</v>
      </c>
      <c r="GO182" s="13">
        <f>$AT182*COS($AU182+RADIANS(GK182))</f>
        <v>-0.98534026208125058</v>
      </c>
      <c r="GP182" s="13">
        <f>$AT182*SIN($AU182+RADIANS(GK182))</f>
        <v>0.20722829353551575</v>
      </c>
      <c r="GQ182" s="13">
        <f t="shared" si="11"/>
        <v>-1.8800609375562205</v>
      </c>
      <c r="GR182" s="2">
        <f t="shared" si="11"/>
        <v>5.2986295170361242</v>
      </c>
      <c r="GS182" s="2">
        <f>GN182</f>
        <v>-1.5202628537487035E-3</v>
      </c>
      <c r="GT182" s="2">
        <f>GQ182</f>
        <v>-1.8800609375562205</v>
      </c>
      <c r="GU182" s="19">
        <f>GR182*COS(RADIANS($AB182))-GS182*SIN(RADIANS($AB182))</f>
        <v>4.8621248401439114</v>
      </c>
      <c r="GV182" s="2">
        <f>GR182*SIN(RADIANS($AB182))+GS182*COS(RADIANS($AB182))</f>
        <v>2.1059959897542919</v>
      </c>
      <c r="GW182" s="23">
        <f>DEGREES(RADIANS(IF(GT182&gt;0,DEGREES(ATAN(GU182/GT182)),IF(GT182=0,IF(GU182&lt;0,-90,90),DEGREES(ATAN(GU182/GT182))+180))))</f>
        <v>111.1402280229684</v>
      </c>
      <c r="GX182" s="2">
        <f>SQRT(GT182*GT182+GU182*GU182)</f>
        <v>5.2129537778565842</v>
      </c>
      <c r="GY182" s="23">
        <f>DEGREES(RADIANS(IF(GX182&gt;0,DEGREES(ATAN(GV182/GX182)),IF(GX182=0,IF(GV182&lt;0,-90,90),DEGREES(ATAN(GV182/GX182))+180))))</f>
        <v>21.998355435330602</v>
      </c>
      <c r="GZ182" s="2">
        <f>MOD($AG182-GW182-180,360)</f>
        <v>88.717412893047538</v>
      </c>
      <c r="HA182" s="19">
        <f>RADIANS(113.6634+0.000023898*(K182+1.5))</f>
        <v>1.9877152844128085</v>
      </c>
      <c r="HB182" s="19">
        <f>RADIANS(2.4886-0.0000001081*(K182+1.5))</f>
        <v>4.3416555976407957E-2</v>
      </c>
      <c r="HC182" s="19">
        <f>RADIANS(339.3939+0.0000297661*(K182+1.5))</f>
        <v>5.9284169811233802</v>
      </c>
      <c r="HD182" s="19">
        <f>9.55475</f>
        <v>9.5547500000000003</v>
      </c>
      <c r="HE182" s="19">
        <f>0.055546-0.000000009499*(K182+1.5)</f>
        <v>5.5456846343916663E-2</v>
      </c>
      <c r="HF182" s="2">
        <f>MOD(RADIANS(316.967+0.0334442282*(K182+1.5)),2*PI())</f>
        <v>4.7274091231845663</v>
      </c>
      <c r="HG182" s="19">
        <f>HF182+HE182*SIN(HF182)*(1+HE182*COS(HF182))</f>
        <v>4.6719123454572298</v>
      </c>
      <c r="HH182" s="19">
        <f>HD182*(COS(HG182)-HE182)</f>
        <v>-0.91651483460727323</v>
      </c>
      <c r="HI182" s="19">
        <f>HD182*(SQRT(1-HE182*HE182)*SIN(HG182))</f>
        <v>-9.5322321132465575</v>
      </c>
      <c r="HJ182" s="2">
        <f>MOD(RADIANS(IF(HH182&gt;0,DEGREES(ATAN(HI182/HH182)),IF(HH182=0,IF(HI182&lt;0,-90,90),DEGREES(ATAN(HI182/HH182))+180))),2*PI())</f>
        <v>4.6165346091374886</v>
      </c>
      <c r="HK182" s="19">
        <f>SQRT(HH182*HH182+HI182*HI182)</f>
        <v>9.5761917536599146</v>
      </c>
      <c r="HL182" s="19">
        <f>HK182*(COS(HA182)*COS(HJ182+HC182)-SIN(HA182)*SIN(HJ182+HC182)*COS(HB182))</f>
        <v>9.5633257976213244</v>
      </c>
      <c r="HM182" s="19">
        <f>HK182*(SIN(HA182)*COS(HJ182+HC182)+COS(HA182)*SIN(HJ182+HC182)*COS(HB182))</f>
        <v>-0.3259818669467518</v>
      </c>
      <c r="HN182" s="19">
        <f>HK182*(SIN(HJ182+HC182)*SIN(HB182))</f>
        <v>-0.37414437565805275</v>
      </c>
      <c r="HO182" s="19">
        <f>DEGREES(RADIANS(IF(HL182&gt;0,DEGREES(ATAN(HM182/HL182)),IF(HL182=0,IF(HM182&lt;0,-90,90),DEGREES(ATAN(HM182/HL182))+180))))+HV182</f>
        <v>-1.9520885028128212</v>
      </c>
      <c r="HP182" s="19">
        <f>0.812*SIN(2*FW182-5*HF182-RADIANS(67.6))-0.229*COS(2*FW182-4*HF182-RADIANS(2))+0.119*SIN(FW182-2*HF182-RADIANS(3))+0.046*SIN(2*FW182-6*HF182-RADIANS(69))+0.014*SIN(FW182-3*HF182+RADIANS(32))</f>
        <v>8.5045740960174601E-2</v>
      </c>
      <c r="HQ182" s="2">
        <f>HO182+HP182</f>
        <v>-1.8670427618526466</v>
      </c>
      <c r="HR182" s="2">
        <f>SQRT(HL182*HL182+HM182*HM182)</f>
        <v>9.5688800018093882</v>
      </c>
      <c r="HS182" s="2">
        <f>DEGREES(RADIANS(IF(HR182&gt;0,DEGREES(ATAN(HN182/HR182)),IF(HR182=0,IF(HN182&lt;0,-90,90),DEGREES(ATAN(HN182/HR182))+180))))</f>
        <v>-2.2391313590494333</v>
      </c>
      <c r="HT182" s="2">
        <f>-0.02*COS(2*FW182-4*HF182-RADIANS(2))+0.018*SIN(2*FW182-6*HF182-RADIANS(49))</f>
        <v>6.0163506941827982E-4</v>
      </c>
      <c r="HU182" s="2">
        <f>HS182+HT182</f>
        <v>-2.2385297239800148</v>
      </c>
      <c r="HV182" s="19">
        <f>0.0000382394*(365.2422*((2000-(36526-$L$4)/365)-2000)-($K182+1.5))</f>
        <v>1.7756576790492614E-4</v>
      </c>
      <c r="HW182" s="19">
        <f>HK182*COS(RADIANS(HQ182))*COS(RADIANS(HU182))</f>
        <v>9.563804018726028</v>
      </c>
      <c r="HX182" s="19">
        <f>HK182*SIN(RADIANS(HQ182))*COS(RADIANS(HU182))</f>
        <v>-0.31175688767780474</v>
      </c>
      <c r="HY182" s="19">
        <f>HK182*SIN(RADIANS(HU182))</f>
        <v>-0.37404389748994349</v>
      </c>
      <c r="HZ182" s="13">
        <f>$AT182*COS($AU182+RADIANS(HV182))</f>
        <v>-0.98534026208125058</v>
      </c>
      <c r="IA182" s="13">
        <f>$AT182*SIN($AU182+RADIANS(HV182))</f>
        <v>0.20722829353551575</v>
      </c>
      <c r="IB182" s="13">
        <f t="shared" si="12"/>
        <v>8.5784637566447781</v>
      </c>
      <c r="IC182" s="2">
        <f t="shared" si="12"/>
        <v>-0.10452859414228899</v>
      </c>
      <c r="ID182" s="2">
        <f>HY182</f>
        <v>-0.37404389748994349</v>
      </c>
      <c r="IE182" s="2">
        <f>IB182</f>
        <v>8.5784637566447781</v>
      </c>
      <c r="IF182" s="19">
        <f>IC182*COS(RADIANS($AB182))-ID182*SIN(RADIANS($AB182))</f>
        <v>5.2860614346951565E-2</v>
      </c>
      <c r="IG182" s="2">
        <f>IC182*SIN(RADIANS($AB182))+ID182*COS(RADIANS($AB182))</f>
        <v>-0.38476073044646014</v>
      </c>
      <c r="IH182" s="23">
        <f>DEGREES(RADIANS(IF(IE182&gt;0,DEGREES(ATAN(IF182/IE182)),IF(IE182=0,IF(IF182&lt;0,-90,90),DEGREES(ATAN(IF182/IE182))+180))))</f>
        <v>0.35305293089731882</v>
      </c>
      <c r="II182" s="2">
        <f>SQRT(IE182*IE182+IF182*IF182)</f>
        <v>8.5786266190234191</v>
      </c>
      <c r="IJ182" s="23">
        <f>DEGREES(RADIANS(IF(II182&gt;0,DEGREES(ATAN(IG182/II182)),IF(II182=0,IF(IG182&lt;0,-90,90),DEGREES(ATAN(IG182/II182))+180))))</f>
        <v>-2.5680569403041957</v>
      </c>
      <c r="IK182" s="2">
        <f>MOD($AG182-IH182-180,360)</f>
        <v>199.50458798511863</v>
      </c>
    </row>
    <row r="183" spans="2:245" s="2" customFormat="1" ht="15" customHeight="1">
      <c r="B183" s="8" t="s">
        <v>154</v>
      </c>
      <c r="C183" s="2">
        <f>(12+26/60+36/3600)</f>
        <v>12.443333333333333</v>
      </c>
      <c r="D183" s="2">
        <f>-63-5.5/60</f>
        <v>-63.091666666666669</v>
      </c>
      <c r="E183" s="17">
        <f t="shared" si="13"/>
        <v>173.08135884770724</v>
      </c>
      <c r="F183" s="17">
        <f t="shared" si="4"/>
        <v>-63.23382050203135</v>
      </c>
      <c r="G183" s="17">
        <f t="shared" si="5"/>
        <v>-14.072369883828495</v>
      </c>
      <c r="H183" s="17">
        <f t="shared" si="6"/>
        <v>4.2833657197078132</v>
      </c>
      <c r="I183" s="19">
        <f t="shared" si="7"/>
        <v>173.07949541228061</v>
      </c>
      <c r="J183" s="19">
        <f t="shared" si="8"/>
        <v>-63.232019591029747</v>
      </c>
      <c r="K183" s="2">
        <f>-36525+$L$4-1.5+(L6+1)/24</f>
        <v>9384.125</v>
      </c>
      <c r="L183" s="20">
        <f>360-MOD(280.46061837+360.98564736629*(K183),360)</f>
        <v>145.10129044391215</v>
      </c>
      <c r="M183" s="2">
        <f>K183/36525</f>
        <v>0.25692334017796031</v>
      </c>
      <c r="N183" s="15">
        <f>MOD(125.04452-1934.136261*M183,360)</f>
        <v>348.11977146456877</v>
      </c>
      <c r="O183" s="15">
        <f>MOD(280.4665+36000.7698*M183,360)</f>
        <v>169.90452599384116</v>
      </c>
      <c r="P183" s="15">
        <f>MOD(218.3165+481267.8813*M183,360)</f>
        <v>27.268083966133418</v>
      </c>
      <c r="Q183" s="15">
        <f>MOD(23.4393-0.0000003563*K183,360)</f>
        <v>23.435956436262501</v>
      </c>
      <c r="R183" s="15">
        <f>-(17.2*SIN(RADIANS(N183))-1.32*SIN(RADIANS(2*O183))-0.23*SIN(RADIANS(2*P183))+0.21*SIN(RADIANS(2*N183)))</f>
        <v>3.3572488333176698</v>
      </c>
      <c r="S183" s="15">
        <f>9.2*COS(RADIANS(N183))+0.57*COS(RADIANS(2*O183))+0.1*COS(RADIANS(2*P183))-0.09*COS(RADIANS(2*N183))</f>
        <v>9.5135563534227447</v>
      </c>
      <c r="T183" s="15">
        <f>S183+Q183</f>
        <v>32.949512789685244</v>
      </c>
      <c r="U183" s="15">
        <f>R183*COS(RADIANS(T183))/3600</f>
        <v>7.8256552731597218E-4</v>
      </c>
      <c r="V183" s="15">
        <f>MOD(360-L183-U183,360)</f>
        <v>214.89792699056053</v>
      </c>
      <c r="W183" s="15">
        <f>MOD(280.461+0.9856474*K183,360)</f>
        <v>169.89940752499933</v>
      </c>
      <c r="X183" s="15">
        <f>MOD(357.528+35999.05*M183,360)</f>
        <v>246.52416923340388</v>
      </c>
      <c r="Y183" s="15">
        <f>1.915*SIN(RADIANS(X183))+0.02*SIN(RADIANS(2*X183))</f>
        <v>-1.7418764382637346</v>
      </c>
      <c r="Z183" s="15">
        <f>W183+Y183</f>
        <v>168.15753108673559</v>
      </c>
      <c r="AA183" s="15">
        <f>-Y183+2.466*SIN(RADIANS(2*Z183))-0.053*SIN(RADIANS(4*Z183))</f>
        <v>0.79026113337938031</v>
      </c>
      <c r="AB183" s="15">
        <f>Q183</f>
        <v>23.435956436262501</v>
      </c>
      <c r="AC183" s="15">
        <f>DEGREES(ASIN(SIN(RADIANS(AB183))*SIN(RADIANS(Z183))))</f>
        <v>4.6817749773287041</v>
      </c>
      <c r="AD183" s="15">
        <f>COS(RADIANS(AB183))*SIN(RADIANS(Z183))</f>
        <v>0.18829184532179333</v>
      </c>
      <c r="AE183" s="15">
        <f>COS(RADIANS(Z183))</f>
        <v>-0.97871554282809281</v>
      </c>
      <c r="AF183" s="15">
        <f>MOD(IF(AE183&lt;0,DEGREES(ATAN(AD183/AE183))+180,DEGREES(ATAN(AD183/AE183))),360)</f>
        <v>169.11010810605171</v>
      </c>
      <c r="AG183" s="15">
        <f>180-L183</f>
        <v>34.898709556087852</v>
      </c>
      <c r="AH183" s="15">
        <f>MOD(AG183-AF183+180,360)</f>
        <v>45.78860145003614</v>
      </c>
      <c r="AI183" s="15">
        <v>0</v>
      </c>
      <c r="AJ183" s="21">
        <v>0</v>
      </c>
      <c r="AK183" s="21">
        <f>RADIANS(282.9404+0.0000470935*(K183+1.5))</f>
        <v>4.9459559559047968</v>
      </c>
      <c r="AL183" s="15">
        <v>1</v>
      </c>
      <c r="AM183" s="21">
        <f>0.016709-0.000000001151*(K183+1.5)</f>
        <v>1.6698197145625003E-2</v>
      </c>
      <c r="AN183" s="21">
        <f>MOD(RADIANS(356.047+0.9856002585*(K183+1.5)),2*PI())</f>
        <v>4.3026105636240715</v>
      </c>
      <c r="AO183" s="21">
        <f>AN183+AM183*SIN(AN183)*(1+AM183*COS(AN183))</f>
        <v>4.2873967152815391</v>
      </c>
      <c r="AP183" s="21">
        <f>RADIANS(MOD(23.4393-0.0000003563*(K183+1.5),360))</f>
        <v>0.40903459383882501</v>
      </c>
      <c r="AQ183" s="21">
        <f>COS(AO183)-AM183</f>
        <v>-0.42901193208609045</v>
      </c>
      <c r="AR183" s="21">
        <f>SQRT(1-AM183*AM183)*SIN(AO183)</f>
        <v>-0.91091490051755075</v>
      </c>
      <c r="AS183" s="15">
        <f>MOD(RADIANS(IF(AQ183&gt;0,DEGREES(ATAN(AR183/AQ183)),IF(AQ183=0,IF(AR183&lt;0,-90,90),DEGREES(ATAN(AR183/AQ183))+180))),2*PI())</f>
        <v>4.2722353842286402</v>
      </c>
      <c r="AT183" s="21">
        <f>SQRT(AQ183*AQ183+AR183*AR183)</f>
        <v>1.0068848960318848</v>
      </c>
      <c r="AU183" s="22">
        <f>AS183+AK183</f>
        <v>9.218191340133437</v>
      </c>
      <c r="AV183" s="21">
        <f>AT183*COS(AU183)</f>
        <v>-0.98547526936513141</v>
      </c>
      <c r="AW183" s="15">
        <f>AT183*SIN(AU183)</f>
        <v>0.20653253333763469</v>
      </c>
      <c r="AX183" s="21">
        <f>AV183</f>
        <v>-0.98547526936513141</v>
      </c>
      <c r="AY183" s="15">
        <f>AW183*COS(AP183)</f>
        <v>0.18949467646135001</v>
      </c>
      <c r="AZ183" s="15">
        <f>AW183*SIN(AP183)</f>
        <v>8.2142893299843436E-2</v>
      </c>
      <c r="BA183" s="15">
        <f>DEGREES(MOD(RADIANS(IF(AX183&gt;0,DEGREES(ATAN(AY183/AX183)),IF(AX183=0,IF(AY183&lt;0,-90,90),DEGREES(ATAN(AY183/AX183))+180))),PI()))</f>
        <v>169.1155829828547</v>
      </c>
      <c r="BB183" s="15">
        <f>SQRT(AX183*AX183+AY183*AY183)</f>
        <v>1.0035286438051831</v>
      </c>
      <c r="BC183" s="15">
        <f>DEGREES(RADIANS(IF(BB183&gt;0,DEGREES(ATAN(AZ183/BB183)),IF(BB183=0,IF(AZ183&lt;0,-90,90),DEGREES(ATAN(AZ183/BB183))+180))))</f>
        <v>4.6794598221429666</v>
      </c>
      <c r="BD183" s="19">
        <f>RADIANS(125.1228-0.0529538083*(K183+1.5))</f>
        <v>-6.4905616117985776</v>
      </c>
      <c r="BE183" s="2">
        <f>RADIANS(5.1454)</f>
        <v>8.9804171332116239E-2</v>
      </c>
      <c r="BF183" s="19">
        <f>RADIANS(318.0634+0.1643573223*(K183+1.5))</f>
        <v>32.474636158621315</v>
      </c>
      <c r="BG183" s="2">
        <f>60.2666</f>
        <v>60.266599999999997</v>
      </c>
      <c r="BH183" s="19">
        <f>0.0549</f>
        <v>5.4899999999999997E-2</v>
      </c>
      <c r="BI183" s="19">
        <f>MOD(RADIANS(115.3654+13.0649929509*(K183+1.5)),2*PI())</f>
        <v>5.9077626252301627</v>
      </c>
      <c r="BJ183" s="19">
        <f>BI183+BH183*SIN(BI183)*(1+BH183*COS(BI183))</f>
        <v>5.8866045077281663</v>
      </c>
      <c r="BK183" s="19">
        <f>BG183*(COS(BJ183)-BH183)</f>
        <v>52.280498470218738</v>
      </c>
      <c r="BL183" s="19">
        <f>BG183*(SQRT(1-BH183*BH183)*SIN(BJ183))</f>
        <v>-23.243877493569105</v>
      </c>
      <c r="BM183" s="2">
        <f>MOD(RADIANS(IF(BK183&gt;0,DEGREES(ATAN(BL183/BK183)),IF(BK183=0,IF(BL183&lt;0,-90,90),DEGREES(ATAN(BL183/BK183))+180))),2*PI())</f>
        <v>5.8648316012714643</v>
      </c>
      <c r="BN183" s="19">
        <f>SQRT(BK183*BK183+BL183*BL183)</f>
        <v>57.214756498918987</v>
      </c>
      <c r="BO183" s="19">
        <f>BN183*(COS(BD183)*COS(BM183+BF183)-SIN(BD183)*SIN(BM183+BF183)*COS(BE183))</f>
        <v>51.906593533610746</v>
      </c>
      <c r="BP183" s="19">
        <f>BN183*(SIN(BD183)*COS(BM183+BF183)+COS(BD183)*SIN(BM183+BF183)*COS(BE183))</f>
        <v>23.871211583161053</v>
      </c>
      <c r="BQ183" s="19">
        <f>BN183*(SIN(BM183+BF183)*SIN(BE183))</f>
        <v>3.0658060145856303</v>
      </c>
      <c r="BR183" s="2">
        <f>DEGREES(RADIANS(IF(BO183&gt;0,DEGREES(ATAN(BP183/BO183)),IF(BO183=0,IF(BP183&lt;0,-90,90),DEGREES(ATAN(BP183/BO183))+180))))</f>
        <v>24.697126393710271</v>
      </c>
      <c r="BS183" s="2">
        <f>SQRT(BO183*BO183+BP183*BP183)</f>
        <v>57.132558097038881</v>
      </c>
      <c r="BT183" s="2">
        <f>DEGREES(RADIANS(IF(BS183&gt;0,DEGREES(ATAN(BQ183/BS183)),IF(BS183=0,IF(BQ183&lt;0,-90,90),DEGREES(ATAN(BQ183/BS183))+180))))</f>
        <v>3.0716186692787701</v>
      </c>
      <c r="BU183" s="2">
        <f>AN183+AK183</f>
        <v>9.2485665195288682</v>
      </c>
      <c r="BV183" s="2">
        <f>BI183+BF183+BD183</f>
        <v>31.891837172052902</v>
      </c>
      <c r="BW183" s="2">
        <f>BV183-BU183</f>
        <v>22.643270652524034</v>
      </c>
      <c r="BX183" s="19">
        <f>BV183-BD183</f>
        <v>38.382398783851478</v>
      </c>
      <c r="BY183" s="2">
        <f>-1.274*SIN(BI183-2*BW183)</f>
        <v>1.2664572287412985</v>
      </c>
      <c r="BZ183" s="19">
        <f>BY183+0.658*SIN(2*BW183)</f>
        <v>1.9012198338808497</v>
      </c>
      <c r="CA183" s="19">
        <f>BZ183-0.186*SIN(AN183)</f>
        <v>2.0718207312140118</v>
      </c>
      <c r="CB183" s="19">
        <f>CA183-0.059*SIN(2*BI183-2*BW183)</f>
        <v>2.1240359818428423</v>
      </c>
      <c r="CC183" s="19">
        <f>CB183-0.057*SIN(BI183-2*BW183+AN183)</f>
        <v>2.0957806715921445</v>
      </c>
      <c r="CD183" s="19">
        <f>CC183+0.053*SIN(BI183+2*BW183)</f>
        <v>2.1382291570927991</v>
      </c>
      <c r="CE183" s="19">
        <f>CD183+0.046*SIN(2*BW183-AN183)</f>
        <v>2.131663252238936</v>
      </c>
      <c r="CF183" s="19">
        <f>CE183+0.041*SIN(BI183-AN183)</f>
        <v>2.1726390581302564</v>
      </c>
      <c r="CG183" s="19">
        <f>CF183-0.035*SIN(BW183)</f>
        <v>2.1938796618943899</v>
      </c>
      <c r="CH183" s="19">
        <f>CG183-0.031*SIN(BI183+AN183)</f>
        <v>2.2158042914045937</v>
      </c>
      <c r="CI183" s="19">
        <f>CH183-0.015*SIN(2*BX183-2*BW183)</f>
        <v>2.2148699507623228</v>
      </c>
      <c r="CJ183" s="19">
        <f>CI183+0.011*SIN(BI183-4*BW183)</f>
        <v>2.2131426311677331</v>
      </c>
      <c r="CK183" s="2">
        <f>RADIANS(CJ183+BR183)</f>
        <v>0.46967279708156506</v>
      </c>
      <c r="CL183" s="19">
        <f>-0.173*SIN(BX183-2*BW183)</f>
        <v>0.10065381336660066</v>
      </c>
      <c r="CM183" s="19">
        <f>CL183-0.055*SIN(BI183-BX183-2*BW183)</f>
        <v>0.13928092532994049</v>
      </c>
      <c r="CN183" s="19">
        <f>CM183-0.046*SIN(BI183+BX183-2*BW183)</f>
        <v>0.17789836346734453</v>
      </c>
      <c r="CO183" s="19">
        <f>CN183+0.033*SIN(BX183+2*BW183)</f>
        <v>0.20807407505183334</v>
      </c>
      <c r="CP183" s="19">
        <f>CO183+0.017*SIN(2*BI183+BX183)</f>
        <v>0.20692645530674894</v>
      </c>
      <c r="CQ183" s="2">
        <f>RADIANS(CP183+BT183)</f>
        <v>5.7221407099224998E-2</v>
      </c>
      <c r="CR183" s="19">
        <f>BN183-0.58*COS(BI183-2*BW183)</f>
        <v>57.277776728082856</v>
      </c>
      <c r="CS183" s="19">
        <f>CR183-0.46*COS(2*BW183)</f>
        <v>57.156609534943044</v>
      </c>
      <c r="CT183" s="19">
        <f>CS183*COS(CK183)*COS(CQ183)</f>
        <v>50.884069199201591</v>
      </c>
      <c r="CU183" s="19">
        <f>CS183*SIN(CK183)*COS(CQ183)</f>
        <v>25.826429887167414</v>
      </c>
      <c r="CV183" s="19">
        <f>CS183*SIN(CQ183)</f>
        <v>3.268797109646369</v>
      </c>
      <c r="CW183" s="15">
        <f>CT183</f>
        <v>50.884069199201591</v>
      </c>
      <c r="CX183" s="15">
        <f>CU183*COS(AP183)-CV183*SIN(AP183)</f>
        <v>22.395805874624173</v>
      </c>
      <c r="CY183" s="21">
        <f>CU183*SIN(AP183)+CV183*COS(AP183)</f>
        <v>13.270922895072376</v>
      </c>
      <c r="CZ183" s="15">
        <f>DEGREES(RADIANS(IF(CW183&gt;0,DEGREES(ATAN(CX183/CW183)),IF(CW183=0,IF(CX183&lt;0,-90,90),DEGREES(ATAN(CX183/CW183))+180))))</f>
        <v>23.755923643660235</v>
      </c>
      <c r="DA183" s="15">
        <f>SQRT(CW183*CW183+CX183*CX183)</f>
        <v>55.594609622183576</v>
      </c>
      <c r="DB183" s="15">
        <f>DEGREES(RADIANS(IF(DA183&gt;0,DEGREES(ATAN(CY183/DA183)),IF(DA183=0,IF(CY183&lt;0,-90,90),DEGREES(ATAN(CY183/DA183))+180))))</f>
        <v>13.425762024548545</v>
      </c>
      <c r="DC183" s="15">
        <f>MOD(AG183-CZ183-180,360)</f>
        <v>191.14278591242763</v>
      </c>
      <c r="DD183" s="15">
        <f>RADIANS(49.5574+0.0000211081*(K183+1.5))</f>
        <v>0.86839751782593066</v>
      </c>
      <c r="DE183" s="15">
        <f>RADIANS(1.8497-0.0000000178*(K183+1.5))</f>
        <v>3.2280439355095898E-2</v>
      </c>
      <c r="DF183" s="15">
        <f>RADIANS(286.5016+0.0000292961*(K183+1.5))</f>
        <v>5.0051952280897574</v>
      </c>
      <c r="DG183" s="15">
        <f>1.523688</f>
        <v>1.5236879999999999</v>
      </c>
      <c r="DH183" s="15">
        <f>0.093405+0.000000002516*(K183+1.5)</f>
        <v>9.3428614232499999E-2</v>
      </c>
      <c r="DI183" s="15">
        <f>MOD(RADIANS(18.6021+0.5240207766*(K183+1.5)),2*PI())</f>
        <v>4.4831330258405089</v>
      </c>
      <c r="DJ183" s="21">
        <f>DI183+DH183*SIN(DI183)*(1+DH183*COS(DI183))</f>
        <v>4.3940806700235271</v>
      </c>
      <c r="DK183" s="21">
        <f>DG183*(COS(DJ183)-DH183)</f>
        <v>-0.61920991125595237</v>
      </c>
      <c r="DL183" s="21">
        <f>DG183*(SQRT(1-DH183*DH183)*SIN(DJ183))</f>
        <v>-1.4408175246645085</v>
      </c>
      <c r="DM183" s="15">
        <f>MOD(RADIANS(IF(DK183&gt;0,DEGREES(ATAN(DL183/DK183)),IF(DK183=0,IF(DL183&lt;0,-90,90),DEGREES(ATAN(DL183/DK183))+180))),2*PI())</f>
        <v>4.3064910443742859</v>
      </c>
      <c r="DN183" s="21">
        <f>SQRT(DK183*DK183+DL183*DL183)</f>
        <v>1.5682397946672459</v>
      </c>
      <c r="DO183" s="21">
        <f>DN183*(COS(DD183)*COS(DM183+DF183)-SIN(DD183)*SIN(DM183+DF183)*COS(DE183))</f>
        <v>-1.1417053125595724</v>
      </c>
      <c r="DP183" s="21">
        <f>DN183*(SIN(DD183)*COS(DM183+DF183)+COS(DD183)*SIN(DM183+DF183)*COS(DE183))</f>
        <v>-1.0751057654880549</v>
      </c>
      <c r="DQ183" s="21">
        <f>DN183*(SIN(DM183+DF183)*SIN(DE183))</f>
        <v>5.7119055977875909E-3</v>
      </c>
      <c r="DR183" s="15">
        <f>DEGREES(RADIANS(IF(DO183&gt;0,DEGREES(ATAN(DP183/DO183)),IF(DO183=0,IF(DP183&lt;0,-90,90),DEGREES(ATAN(DP183/DO183))+180))))+DU183</f>
        <v>223.27935926344367</v>
      </c>
      <c r="DS183" s="15">
        <f>SQRT(DO183*DO183+DP183*DP183)</f>
        <v>1.5682293925674291</v>
      </c>
      <c r="DT183" s="15">
        <f>DEGREES(RADIANS(IF(DS183&gt;0,DEGREES(ATAN(DQ183/DS183)),IF(DS183=0,IF(DQ183&lt;0,-90,90),DEGREES(ATAN(DQ183/DS183))+180))))</f>
        <v>0.20868543728611078</v>
      </c>
      <c r="DU183" s="21">
        <f>0.0000382394*(365.2422*((2000-(36526-$L$4)/365)-2000)-($K183+1.5))</f>
        <v>1.7597245957161599E-4</v>
      </c>
      <c r="DV183" s="21">
        <f>DN183*COS(RADIANS(DR183))*COS(RADIANS(DT183))</f>
        <v>-1.141702010583127</v>
      </c>
      <c r="DW183" s="21">
        <f>DN183*SIN(RADIANS(DR183))*COS(RADIANS(DT183))</f>
        <v>-1.075109272001155</v>
      </c>
      <c r="DX183" s="21">
        <f>DN183*SIN(RADIANS(DT183))</f>
        <v>5.7119055977875909E-3</v>
      </c>
      <c r="DY183" s="10">
        <f>$AT183*COS($AU183+RADIANS(DU183))</f>
        <v>-0.9854759036836076</v>
      </c>
      <c r="DZ183" s="10">
        <f>$AT183*SIN($AU183+RADIANS(DU183))</f>
        <v>0.20652950664763681</v>
      </c>
      <c r="EA183" s="10">
        <f t="shared" si="9"/>
        <v>-2.1271779142667349</v>
      </c>
      <c r="EB183" s="15">
        <f t="shared" si="9"/>
        <v>-0.86857976535351822</v>
      </c>
      <c r="EC183" s="15">
        <f>DX183</f>
        <v>5.7119055977875909E-3</v>
      </c>
      <c r="ED183" s="15">
        <f>EA183</f>
        <v>-2.1271779142667349</v>
      </c>
      <c r="EE183" s="21">
        <f>EB183*COS(RADIANS($AB183))-EC183*SIN(RADIANS($AB183))</f>
        <v>-0.79919822192532097</v>
      </c>
      <c r="EF183" s="15">
        <f>EB183*SIN(RADIANS($AB183))+EC183*COS(RADIANS($AB183))</f>
        <v>-0.34021410423222626</v>
      </c>
      <c r="EG183" s="15">
        <f>DEGREES(RADIANS(IF(ED183&gt;0,DEGREES(ATAN(EE183/ED183)),IF(ED183=0,IF(EE183&lt;0,-90,90),DEGREES(ATAN(EE183/ED183))+180))))</f>
        <v>200.59161204288938</v>
      </c>
      <c r="EH183" s="15">
        <f>SQRT(ED183*ED183+EE183*EE183)</f>
        <v>2.2723564150178492</v>
      </c>
      <c r="EI183" s="15">
        <f>DEGREES(RADIANS(IF(EH183&gt;0,DEGREES(ATAN(EF183/EH183)),IF(EH183=0,IF(EF183&lt;0,-90,90),DEGREES(ATAN(EF183/EH183))+180))))</f>
        <v>-8.5149987613295259</v>
      </c>
      <c r="EJ183" s="15">
        <f>MOD($AG183-EG183-180,360)</f>
        <v>14.307097513198471</v>
      </c>
      <c r="EK183" s="19">
        <f>RADIANS(76.6799+0.000024659*(K183+1.5))</f>
        <v>1.3423561173352021</v>
      </c>
      <c r="EL183" s="19">
        <f>RADIANS(3.3946+0.0000000275*(K183+1.5))</f>
        <v>5.9251451564811222E-2</v>
      </c>
      <c r="EM183" s="19">
        <f>RADIANS(54.891+0.0000138374*(K183+1.5))</f>
        <v>0.96029538501718281</v>
      </c>
      <c r="EN183" s="19">
        <f>0.72333</f>
        <v>0.72333000000000003</v>
      </c>
      <c r="EO183" s="2">
        <f>0.006773-0.000000001302*(K183+1.5)</f>
        <v>6.7607799162500001E-3</v>
      </c>
      <c r="EP183" s="19">
        <f>MOD(RADIANS(48.0052+1.6021302244*(K183+1.5)),2*PI())</f>
        <v>5.6722971595149048</v>
      </c>
      <c r="EQ183" s="19">
        <f>EP183+EO183*SIN(EP183)*(1+EO183*COS(EP183))</f>
        <v>5.668397732428093</v>
      </c>
      <c r="ER183" s="19">
        <f>EN183*(COS(EQ183)-EO183)</f>
        <v>0.58599510080762274</v>
      </c>
      <c r="ES183" s="19">
        <f>EN183*(SQRT(1-EO183*EO183)*SIN(EQ183))</f>
        <v>-0.41719636340313743</v>
      </c>
      <c r="ET183" s="2">
        <f>MOD(RADIANS(IF(ER183&gt;0,DEGREES(ATAN(ES183/ER183)),IF(ER183=0,IF(ES183&lt;0,-90,90),DEGREES(ATAN(ES183/ER183))+180))),2*PI())</f>
        <v>5.6644873780703087</v>
      </c>
      <c r="EU183" s="19">
        <f>SQRT(ER183*ER183+ES183*ES183)</f>
        <v>0.71933515401886106</v>
      </c>
      <c r="EV183" s="19">
        <f>EU183*(COS(EK183)*COS(ET183+EM183)-SIN(EK183)*SIN(ET183+EM183)*COS(EL183))</f>
        <v>-8.0812500755477343E-2</v>
      </c>
      <c r="EW183" s="19">
        <f>EU183*(SIN(EK183)*COS(ET183+EM183)+COS(EK183)*SIN(ET183+EM183)*COS(EL183))</f>
        <v>0.71463891748018626</v>
      </c>
      <c r="EX183" s="19">
        <f>EU183*(SIN(ET183+EM183)*SIN(EL183))</f>
        <v>1.4269588351877674E-2</v>
      </c>
      <c r="EY183" s="2">
        <f>DEGREES(RADIANS(IF(EV183&gt;0,DEGREES(ATAN(EW183/EV183)),IF(EV183=0,IF(EW183&lt;0,-90,90),DEGREES(ATAN(EW183/EV183))+180))))+FB183</f>
        <v>96.451866415519646</v>
      </c>
      <c r="EZ183" s="2">
        <f>SQRT(EV183*EV183+EW183*EW183)</f>
        <v>0.71919360582224767</v>
      </c>
      <c r="FA183" s="2">
        <f>DEGREES(RADIANS(IF(EZ183&gt;0,DEGREES(ATAN(EX183/EZ183)),IF(EZ183=0,IF(EX183&lt;0,-90,90),DEGREES(ATAN(EX183/EZ183))+180))))</f>
        <v>1.136661839614421</v>
      </c>
      <c r="FB183" s="19">
        <f>0.0000382394*(365.2422*((2000-(36526-$L$4)/365)-2000)-($K183+1.5))</f>
        <v>1.7597245957161599E-4</v>
      </c>
      <c r="FC183" s="19">
        <f>EU183*COS(RADIANS(EY183))*COS(RADIANS(FA183))</f>
        <v>-8.0814695624754962E-2</v>
      </c>
      <c r="FD183" s="19">
        <f>EU183*SIN(RADIANS(EY183))*COS(RADIANS(FA183))</f>
        <v>0.7146386692774781</v>
      </c>
      <c r="FE183" s="19">
        <f>EU183*SIN(RADIANS(FA183))</f>
        <v>1.4269588351877674E-2</v>
      </c>
      <c r="FF183" s="13">
        <f>$AT183*COS($AU183+RADIANS(FB183))</f>
        <v>-0.9854759036836076</v>
      </c>
      <c r="FG183" s="13">
        <f>$AT183*SIN($AU183+RADIANS(FB183))</f>
        <v>0.20652950664763681</v>
      </c>
      <c r="FH183" s="13">
        <f t="shared" si="10"/>
        <v>-1.0662905993083625</v>
      </c>
      <c r="FI183" s="2">
        <f t="shared" si="10"/>
        <v>0.92116817592511491</v>
      </c>
      <c r="FJ183" s="2">
        <f>FE183</f>
        <v>1.4269588351877674E-2</v>
      </c>
      <c r="FK183" s="2">
        <f>FH183</f>
        <v>-1.0662905993083625</v>
      </c>
      <c r="FL183" s="19">
        <f>FI183*COS(RADIANS($AB183))-FJ183*SIN(RADIANS($AB183))</f>
        <v>0.83950124785190161</v>
      </c>
      <c r="FM183" s="2">
        <f>FI183*SIN(RADIANS($AB183))+FJ183*COS(RADIANS($AB183))</f>
        <v>0.37946288928436134</v>
      </c>
      <c r="FN183" s="23">
        <f>DEGREES(RADIANS(IF(FK183&gt;0,DEGREES(ATAN(FL183/FK183)),IF(FK183=0,IF(FL183&lt;0,-90,90),DEGREES(ATAN(FL183/FK183))+180))))</f>
        <v>141.78628792203756</v>
      </c>
      <c r="FO183" s="2">
        <f>SQRT(FK183*FK183+FL183*FL183)</f>
        <v>1.357106476043161</v>
      </c>
      <c r="FP183" s="23">
        <f>DEGREES(RADIANS(IF(FO183&gt;0,DEGREES(ATAN(FM183/FO183)),IF(FO183=0,IF(FM183&lt;0,-90,90),DEGREES(ATAN(FM183/FO183))+180))))</f>
        <v>15.621615442809384</v>
      </c>
      <c r="FQ183" s="2">
        <f>MOD($AG183-FN183-180,360)</f>
        <v>73.112421634050293</v>
      </c>
      <c r="FR183" s="19">
        <f>RADIANS(100.4542+0.0000276854*(K183+1.5))</f>
        <v>1.7577916844534596</v>
      </c>
      <c r="FS183" s="19">
        <f>RADIANS(1.303-0.0000001557*(K183+1.5))</f>
        <v>2.2716134927360927E-2</v>
      </c>
      <c r="FT183" s="19">
        <f>RADIANS(273.8777+0.0000164505*(K183+1.5))</f>
        <v>4.7827623701583963</v>
      </c>
      <c r="FU183" s="19">
        <f>5.20256</f>
        <v>5.2025600000000001</v>
      </c>
      <c r="FV183" s="19">
        <f>0.048498+0.000000004469*(K183+1.5)</f>
        <v>4.8539944358124996E-2</v>
      </c>
      <c r="FW183" s="19">
        <f>MOD(RADIANS(19.895+0.0830853001*(K183+1.5)),2*PI())</f>
        <v>1.3910705191272239</v>
      </c>
      <c r="FX183" s="19">
        <f>FW183+FV183*SIN(FW183)*(1+FV183*COS(FW183))</f>
        <v>1.4392430147854496</v>
      </c>
      <c r="FY183" s="19">
        <f>FU183*(COS(FX183)-FV183)</f>
        <v>0.42990962417372897</v>
      </c>
      <c r="FZ183" s="19">
        <f>FU183*(SQRT(1-FV183*FV183)*SIN(FX183))</f>
        <v>5.1515268545642217</v>
      </c>
      <c r="GA183" s="2">
        <f>MOD(RADIANS(IF(FY183&gt;0,DEGREES(ATAN(FZ183/FY183)),IF(FY183=0,IF(FZ183&lt;0,-90,90),DEGREES(ATAN(FZ183/FY183))+180))),2*PI())</f>
        <v>1.4875363985955272</v>
      </c>
      <c r="GB183" s="19">
        <f>SQRT(FY183*FY183+FZ183*FZ183)</f>
        <v>5.1694343228494102</v>
      </c>
      <c r="GC183" s="19">
        <f>GB183*(COS(FR183)*COS(GA183+FT183)-SIN(FR183)*SIN(GA183+FT183)*COS(FS183))</f>
        <v>-0.89552057531981255</v>
      </c>
      <c r="GD183" s="19">
        <f>GB183*(SIN(FR183)*COS(GA183+FT183)+COS(FR183)*SIN(GA183+FT183)*COS(FS183))</f>
        <v>5.0912760510499977</v>
      </c>
      <c r="GE183" s="19">
        <f>GB183*(SIN(GA183+FT183)*SIN(FS183))</f>
        <v>-1.5130886132883204E-3</v>
      </c>
      <c r="GF183" s="19">
        <f>DEGREES(RADIANS(IF(GC183&gt;0,DEGREES(ATAN(GD183/GC183)),IF(GC183=0,IF(GD183&lt;0,-90,90),DEGREES(ATAN(GD183/GC183))+180))))+GK183</f>
        <v>99.976066962470924</v>
      </c>
      <c r="GG183" s="19">
        <f>(-0.332*SIN(2*FW183-5*HF183-RADIANS(67.6))-0.056*SIN(2*FW183-2*HF183+RADIANS(21))+0.042*SIN(3*FW183-5*HF183+RADIANS(21))-0.036*SIN(FW183-2*HF183)+0.022*COS(FW183-HF183)+0.023*SIN(2*FW183-3*HF183+RADIANS(52))-0.016*SIN(FW183-5*HF183-RADIANS(69)))</f>
        <v>-5.64875074426089E-3</v>
      </c>
      <c r="GH183" s="2">
        <f>GF183+GG183</f>
        <v>99.970418211726667</v>
      </c>
      <c r="GI183" s="2">
        <f>SQRT(GC183*GC183+GD183*GD183)</f>
        <v>5.1694341014095908</v>
      </c>
      <c r="GJ183" s="2">
        <f>DEGREES(RADIANS(IF(GI183&gt;0,DEGREES(ATAN(GE183/GI183)),IF(GI183=0,IF(GE183&lt;0,-90,90),DEGREES(ATAN(GE183/GI183))+180))))</f>
        <v>-1.6770421557617737E-2</v>
      </c>
      <c r="GK183" s="19">
        <f>0.0000382394*(365.2422*((2000-(36526-$L$4)/365)-2000)-($K183+1.5))</f>
        <v>1.7597245957161599E-4</v>
      </c>
      <c r="GL183" s="19">
        <f>GB183*COS(RADIANS(GH183))*COS(RADIANS(GJ183))</f>
        <v>-0.89503426272795705</v>
      </c>
      <c r="GM183" s="19">
        <f>GB183*SIN(RADIANS(GH183))*COS(RADIANS(GJ183))</f>
        <v>5.0913615661588407</v>
      </c>
      <c r="GN183" s="19">
        <f>GB183*SIN(RADIANS(GJ183))</f>
        <v>-1.5130886132883206E-3</v>
      </c>
      <c r="GO183" s="13">
        <f>$AT183*COS($AU183+RADIANS(GK183))</f>
        <v>-0.9854759036836076</v>
      </c>
      <c r="GP183" s="13">
        <f>$AT183*SIN($AU183+RADIANS(GK183))</f>
        <v>0.20652950664763681</v>
      </c>
      <c r="GQ183" s="13">
        <f t="shared" si="11"/>
        <v>-1.8805101664115647</v>
      </c>
      <c r="GR183" s="2">
        <f t="shared" si="11"/>
        <v>5.2978910728064772</v>
      </c>
      <c r="GS183" s="2">
        <f>GN183</f>
        <v>-1.5130886132883206E-3</v>
      </c>
      <c r="GT183" s="2">
        <f>GQ183</f>
        <v>-1.8805101664115647</v>
      </c>
      <c r="GU183" s="19">
        <f>GR183*COS(RADIANS($AB183))-GS183*SIN(RADIANS($AB183))</f>
        <v>4.8614444608945728</v>
      </c>
      <c r="GV183" s="2">
        <f>GR183*SIN(RADIANS($AB183))+GS183*COS(RADIANS($AB183))</f>
        <v>2.1057088740842573</v>
      </c>
      <c r="GW183" s="23">
        <f>DEGREES(RADIANS(IF(GT183&gt;0,DEGREES(ATAN(GU183/GT183)),IF(GT183=0,IF(GU183&lt;0,-90,90),DEGREES(ATAN(GU183/GT183))+180))))</f>
        <v>111.14753086732166</v>
      </c>
      <c r="GX183" s="2">
        <f>SQRT(GT183*GT183+GU183*GU183)</f>
        <v>5.2124812452746312</v>
      </c>
      <c r="GY183" s="23">
        <f>DEGREES(RADIANS(IF(GX183&gt;0,DEGREES(ATAN(GV183/GX183)),IF(GX183=0,IF(GV183&lt;0,-90,90),DEGREES(ATAN(GV183/GX183))+180))))</f>
        <v>21.997446214217376</v>
      </c>
      <c r="GZ183" s="2">
        <f>MOD($AG183-GW183-180,360)</f>
        <v>103.75117868876617</v>
      </c>
      <c r="HA183" s="19">
        <f>RADIANS(113.6634+0.000023898*(K183+1.5))</f>
        <v>1.9877153017919245</v>
      </c>
      <c r="HB183" s="19">
        <f>RADIANS(2.4886-0.0000001081*(K183+1.5))</f>
        <v>4.3416555897795417E-2</v>
      </c>
      <c r="HC183" s="19">
        <f>RADIANS(339.3939+0.0000297661*(K183+1.5))</f>
        <v>5.9284170027698986</v>
      </c>
      <c r="HD183" s="19">
        <f>9.55475</f>
        <v>9.5547500000000003</v>
      </c>
      <c r="HE183" s="19">
        <f>0.055546-0.000000009499*(K183+1.5)</f>
        <v>5.5456845948125E-2</v>
      </c>
      <c r="HF183" s="2">
        <f>MOD(RADIANS(316.967+0.0334442282*(K183+1.5)),2*PI())</f>
        <v>4.7274334445136432</v>
      </c>
      <c r="HG183" s="19">
        <f>HF183+HE183*SIN(HF183)*(1+HE183*COS(HF183))</f>
        <v>4.6719366126917681</v>
      </c>
      <c r="HH183" s="19">
        <f>HD183*(COS(HG183)-HE183)</f>
        <v>-0.91628315326749254</v>
      </c>
      <c r="HI183" s="19">
        <f>HD183*(SQRT(1-HE183*HE183)*SIN(HG183))</f>
        <v>-9.5322414788585093</v>
      </c>
      <c r="HJ183" s="2">
        <f>MOD(RADIANS(IF(HH183&gt;0,DEGREES(ATAN(HI183/HH183)),IF(HH183=0,IF(HI183&lt;0,-90,90),DEGREES(ATAN(HI183/HH183))+180))),2*PI())</f>
        <v>4.6165587851858314</v>
      </c>
      <c r="HK183" s="19">
        <f>SQRT(HH183*HH183+HI183*HI183)</f>
        <v>9.5761789054002371</v>
      </c>
      <c r="HL183" s="19">
        <f>HK183*(COS(HA183)*COS(HJ183+HC183)-SIN(HA183)*SIN(HJ183+HC183)*COS(HB183))</f>
        <v>9.5633206909568464</v>
      </c>
      <c r="HM183" s="19">
        <f>HK183*(SIN(HA183)*COS(HJ183+HC183)+COS(HA183)*SIN(HJ183+HC183)*COS(HB183))</f>
        <v>-0.32574971192640306</v>
      </c>
      <c r="HN183" s="19">
        <f>HK183*(SIN(HJ183+HC183)*SIN(HB183))</f>
        <v>-0.37414825314169964</v>
      </c>
      <c r="HO183" s="19">
        <f>DEGREES(RADIANS(IF(HL183&gt;0,DEGREES(ATAN(HM183/HL183)),IF(HL183=0,IF(HM183&lt;0,-90,90),DEGREES(ATAN(HM183/HL183))+180))))+HV183</f>
        <v>-1.9507018633818498</v>
      </c>
      <c r="HP183" s="19">
        <f>0.812*SIN(2*FW183-5*HF183-RADIANS(67.6))-0.229*COS(2*FW183-4*HF183-RADIANS(2))+0.119*SIN(FW183-2*HF183-RADIANS(3))+0.046*SIN(2*FW183-6*HF183-RADIANS(69))+0.014*SIN(FW183-3*HF183+RADIANS(32))</f>
        <v>8.5048295936168375E-2</v>
      </c>
      <c r="HQ183" s="2">
        <f>HO183+HP183</f>
        <v>-1.8656535674456813</v>
      </c>
      <c r="HR183" s="2">
        <f>SQRT(HL183*HL183+HM183*HM183)</f>
        <v>9.5688669921210359</v>
      </c>
      <c r="HS183" s="2">
        <f>DEGREES(RADIANS(IF(HR183&gt;0,DEGREES(ATAN(HN183/HR183)),IF(HR183=0,IF(HN183&lt;0,-90,90),DEGREES(ATAN(HN183/HR183))+180))))</f>
        <v>-2.2391575821189798</v>
      </c>
      <c r="HT183" s="2">
        <f>-0.02*COS(2*FW183-4*HF183-RADIANS(2))+0.018*SIN(2*FW183-6*HF183-RADIANS(49))</f>
        <v>6.0172328504042721E-4</v>
      </c>
      <c r="HU183" s="2">
        <f>HS183+HT183</f>
        <v>-2.2385558588339394</v>
      </c>
      <c r="HV183" s="19">
        <f>0.0000382394*(365.2422*((2000-(36526-$L$4)/365)-2000)-($K183+1.5))</f>
        <v>1.7597245957161599E-4</v>
      </c>
      <c r="HW183" s="19">
        <f>HK183*COS(RADIANS(HQ183))*COS(RADIANS(HU183))</f>
        <v>9.5637985726017192</v>
      </c>
      <c r="HX183" s="19">
        <f>HK183*SIN(RADIANS(HQ183))*COS(RADIANS(HU183))</f>
        <v>-0.31152457991365973</v>
      </c>
      <c r="HY183" s="19">
        <f>HK183*SIN(RADIANS(HU183))</f>
        <v>-0.37404776037745735</v>
      </c>
      <c r="HZ183" s="13">
        <f>$AT183*COS($AU183+RADIANS(HV183))</f>
        <v>-0.9854759036836076</v>
      </c>
      <c r="IA183" s="13">
        <f>$AT183*SIN($AU183+RADIANS(HV183))</f>
        <v>0.20652950664763681</v>
      </c>
      <c r="IB183" s="13">
        <f t="shared" si="12"/>
        <v>8.578322668918112</v>
      </c>
      <c r="IC183" s="2">
        <f t="shared" si="12"/>
        <v>-0.10499507326602292</v>
      </c>
      <c r="ID183" s="2">
        <f>HY183</f>
        <v>-0.37404776037745735</v>
      </c>
      <c r="IE183" s="2">
        <f>IB183</f>
        <v>8.578322668918112</v>
      </c>
      <c r="IF183" s="19">
        <f>IC183*COS(RADIANS($AB183))-ID183*SIN(RADIANS($AB183))</f>
        <v>5.2434153582278542E-2</v>
      </c>
      <c r="IG183" s="2">
        <f>IC183*SIN(RADIANS($AB183))+ID183*COS(RADIANS($AB183))</f>
        <v>-0.38494980450915844</v>
      </c>
      <c r="IH183" s="23">
        <f>DEGREES(RADIANS(IF(IE183&gt;0,DEGREES(ATAN(IF183/IE183)),IF(IE183=0,IF(IF183&lt;0,-90,90),DEGREES(ATAN(IF183/IE183))+180))))</f>
        <v>0.35021045546300344</v>
      </c>
      <c r="II183" s="2">
        <f>SQRT(IE183*IE183+IF183*IF183)</f>
        <v>8.5784829167246262</v>
      </c>
      <c r="IJ183" s="23">
        <f>DEGREES(RADIANS(IF(II183&gt;0,DEGREES(ATAN(IG183/II183)),IF(II183=0,IF(IG183&lt;0,-90,90),DEGREES(ATAN(IG183/II183))+180))))</f>
        <v>-2.5693601926072143</v>
      </c>
      <c r="IK183" s="2">
        <f>MOD($AG183-IH183-180,360)</f>
        <v>214.54849910062484</v>
      </c>
    </row>
    <row r="184" spans="2:245" s="2" customFormat="1" ht="15" customHeight="1">
      <c r="B184" s="8" t="s">
        <v>155</v>
      </c>
      <c r="C184" s="2">
        <f>(6+58/60+39/3600)</f>
        <v>6.9775</v>
      </c>
      <c r="D184" s="2">
        <f>-28-58.4/60</f>
        <v>-28.973333333333333</v>
      </c>
      <c r="E184" s="17">
        <f t="shared" si="13"/>
        <v>255.01772239685749</v>
      </c>
      <c r="F184" s="17">
        <f t="shared" si="4"/>
        <v>-29.009559724667149</v>
      </c>
      <c r="G184" s="17">
        <f t="shared" si="5"/>
        <v>-14.072369883828495</v>
      </c>
      <c r="H184" s="17">
        <f t="shared" si="6"/>
        <v>4.2833657197078132</v>
      </c>
      <c r="I184" s="19">
        <f t="shared" si="7"/>
        <v>255.0191285148664</v>
      </c>
      <c r="J184" s="19">
        <f t="shared" si="8"/>
        <v>-29.009021577096046</v>
      </c>
      <c r="K184" s="2">
        <f>VLOOKUP(L8,O184:P246,2,FALSE)</f>
        <v>1</v>
      </c>
      <c r="L184" s="20"/>
      <c r="N184" s="15"/>
      <c r="O184" s="15" t="s">
        <v>58</v>
      </c>
      <c r="P184" s="15">
        <v>1</v>
      </c>
      <c r="Q184" s="15">
        <f>AH181</f>
        <v>43.287991737336284</v>
      </c>
      <c r="R184" s="15">
        <f>AH182</f>
        <v>30.784943544386692</v>
      </c>
      <c r="S184" s="15">
        <f>AH183</f>
        <v>45.78860145003614</v>
      </c>
      <c r="T184" s="15">
        <f>AC181</f>
        <v>4.6844113850999296</v>
      </c>
      <c r="U184" s="15">
        <f>AC182</f>
        <v>4.6975924529938728</v>
      </c>
      <c r="V184" s="15">
        <f>AC183</f>
        <v>4.6817749773287041</v>
      </c>
      <c r="W184" s="15"/>
      <c r="X184" s="15"/>
      <c r="Y184" s="15">
        <f>MOD(Q184+$U$5,360)</f>
        <v>96.787991737336284</v>
      </c>
      <c r="Z184" s="15">
        <f>IF(Y184&gt;180,360-Y184,Y184)</f>
        <v>96.787991737336284</v>
      </c>
      <c r="AA184" s="15">
        <f>T184</f>
        <v>4.6844113850999296</v>
      </c>
      <c r="AB184" s="15">
        <f>IF(Y184&gt;90,IF(Y184&lt;270,1,0),0)</f>
        <v>1</v>
      </c>
      <c r="AC184" s="15">
        <f>ABS(TAN(RADIANS(ABS($U$4)))/TAN(RADIANS(ABS(Z184))))</f>
        <v>9.0348856175167275E-2</v>
      </c>
      <c r="AD184" s="15">
        <f>IF(AB184=0,IF($S$4="N",-AC184,AC184),IF($S$4="N",AC184,-AC184))</f>
        <v>9.0348856175167275E-2</v>
      </c>
      <c r="AE184" s="15">
        <f>IF(AA184&gt;0,ABS(TAN(RADIANS(AA184))/SIN(RADIANS(Y184))),-ABS(TAN(RADIANS(AA184))/SIN(RADIANS(Y184))))</f>
        <v>8.2519496966891037E-2</v>
      </c>
      <c r="AF184" s="15">
        <f>AD184+AE184</f>
        <v>0.17286835314205831</v>
      </c>
      <c r="AG184" s="15">
        <f>ABS(DEGREES(ATAN(1/(COS(RADIANS(ABS($U$4)))*AF184))))</f>
        <v>82.159968809159892</v>
      </c>
      <c r="AH184" s="15">
        <f>IF(AF184&lt;0,IF(Y184&lt;180,180+AG184,180-AG184),IF(Y184&lt;180,360-AG184,AG184))</f>
        <v>277.84003119084014</v>
      </c>
      <c r="AI184" s="15">
        <f>AA184-$U$4</f>
        <v>-32.515588614900075</v>
      </c>
      <c r="AJ184" s="21">
        <f>DEGREES(ASIN(SIN(RADIANS($U$4))*SIN(RADIANS(AA184))+COS(RADIANS($U$4))*COS(RADIANS(AA184))*COS(RADIANS(Y184))))</f>
        <v>-2.547983589124371</v>
      </c>
      <c r="AK184" s="21">
        <f>AJ184</f>
        <v>-2.547983589124371</v>
      </c>
      <c r="AL184" s="2" t="s">
        <v>58</v>
      </c>
      <c r="AM184" s="21">
        <f>AH184</f>
        <v>277.84003119084014</v>
      </c>
      <c r="AN184" s="21">
        <f>AJ184</f>
        <v>-2.547983589124371</v>
      </c>
      <c r="AO184" s="21">
        <v>-46.726438506659036</v>
      </c>
      <c r="AP184" s="21"/>
      <c r="AQ184" s="21"/>
      <c r="AR184" s="21"/>
      <c r="AS184" s="15"/>
      <c r="AT184" s="21"/>
      <c r="AU184" s="22"/>
      <c r="AV184" s="21"/>
      <c r="AW184" s="15"/>
      <c r="AX184" s="21"/>
      <c r="AY184" s="15"/>
      <c r="AZ184" s="15"/>
      <c r="BA184" s="15"/>
      <c r="BB184" s="15"/>
      <c r="BC184" s="15"/>
      <c r="BD184" s="19"/>
      <c r="BF184" s="19"/>
      <c r="BH184" s="19"/>
      <c r="BI184" s="19"/>
      <c r="BJ184" s="19"/>
      <c r="BK184" s="19"/>
      <c r="BL184" s="19"/>
      <c r="BN184" s="19"/>
      <c r="BO184" s="19"/>
      <c r="BP184" s="19"/>
      <c r="BQ184" s="19"/>
      <c r="BX184" s="19"/>
      <c r="BZ184" s="19"/>
      <c r="CA184" s="19"/>
      <c r="CB184" s="19"/>
      <c r="CC184" s="19"/>
      <c r="CD184" s="19"/>
      <c r="CE184" s="19"/>
      <c r="CF184" s="19"/>
      <c r="CG184" s="19"/>
      <c r="CH184" s="19"/>
      <c r="CI184" s="19"/>
      <c r="CJ184" s="19"/>
      <c r="CL184" s="19"/>
      <c r="CM184" s="19"/>
      <c r="CN184" s="19"/>
      <c r="CO184" s="19"/>
      <c r="CP184" s="19"/>
      <c r="CR184" s="19"/>
      <c r="CS184" s="19"/>
      <c r="CT184" s="19"/>
      <c r="CU184" s="19"/>
      <c r="CV184" s="19"/>
      <c r="CW184" s="15"/>
      <c r="CX184" s="15"/>
      <c r="CY184" s="21"/>
      <c r="CZ184" s="15"/>
      <c r="DA184" s="15"/>
      <c r="DB184" s="15"/>
      <c r="DC184" s="15"/>
      <c r="DD184" s="15"/>
      <c r="DE184" s="15"/>
      <c r="DF184" s="15"/>
      <c r="DG184" s="15"/>
      <c r="DH184" s="15"/>
      <c r="DI184" s="15"/>
      <c r="DJ184" s="15"/>
      <c r="DK184" s="15"/>
      <c r="DL184" s="15"/>
      <c r="DM184" s="15"/>
      <c r="DN184" s="15"/>
      <c r="DO184" s="15"/>
      <c r="DP184" s="15"/>
      <c r="DQ184" s="10"/>
      <c r="DR184" s="10"/>
      <c r="DS184" s="10"/>
      <c r="DT184" s="10"/>
      <c r="DU184" s="10"/>
      <c r="DV184" s="10"/>
      <c r="DW184" s="10"/>
      <c r="DX184" s="10"/>
      <c r="DY184" s="10"/>
      <c r="DZ184" s="10"/>
      <c r="EA184" s="10"/>
      <c r="EB184" s="15"/>
      <c r="EC184" s="15"/>
      <c r="ED184" s="15"/>
      <c r="EE184" s="15"/>
      <c r="EF184" s="15"/>
      <c r="EG184" s="15"/>
      <c r="EH184" s="15"/>
      <c r="EI184" s="15"/>
      <c r="EJ184" s="15"/>
      <c r="EK184" s="15"/>
      <c r="EL184" s="15"/>
      <c r="EM184" s="15"/>
      <c r="EN184" s="15"/>
      <c r="EO184" s="15"/>
      <c r="EP184" s="15"/>
      <c r="EQ184" s="15"/>
      <c r="ER184" s="15"/>
      <c r="ES184" s="15"/>
      <c r="ET184" s="15"/>
      <c r="EU184" s="15"/>
      <c r="EV184" s="15"/>
      <c r="EW184" s="15"/>
      <c r="EX184" s="15"/>
      <c r="EY184" s="15"/>
      <c r="EZ184" s="15"/>
      <c r="FA184" s="15"/>
      <c r="FB184" s="15"/>
      <c r="FC184" s="15"/>
      <c r="FD184" s="15"/>
      <c r="FE184" s="15"/>
      <c r="FF184" s="15"/>
      <c r="FG184" s="15"/>
      <c r="FH184" s="15"/>
      <c r="FI184" s="15"/>
      <c r="FJ184" s="15"/>
      <c r="FK184" s="15"/>
      <c r="FL184" s="15"/>
      <c r="FM184" s="15"/>
      <c r="FN184" s="15"/>
      <c r="FO184" s="15"/>
    </row>
    <row r="185" spans="2:245" s="2" customFormat="1" ht="15" customHeight="1">
      <c r="B185" s="8" t="s">
        <v>156</v>
      </c>
      <c r="C185" s="2">
        <f>(4+35/60+56/3600)</f>
        <v>4.5988888888888884</v>
      </c>
      <c r="D185" s="2">
        <f>16+30.5/60</f>
        <v>16.508333333333333</v>
      </c>
      <c r="E185" s="17">
        <f t="shared" si="13"/>
        <v>290.68386167990218</v>
      </c>
      <c r="F185" s="17">
        <f t="shared" si="4"/>
        <v>16.559660639758999</v>
      </c>
      <c r="G185" s="17">
        <f t="shared" si="5"/>
        <v>-14.072369883828495</v>
      </c>
      <c r="H185" s="17">
        <f t="shared" si="6"/>
        <v>4.2833657197078132</v>
      </c>
      <c r="I185" s="19">
        <f t="shared" si="7"/>
        <v>290.68344690837222</v>
      </c>
      <c r="J185" s="19">
        <f t="shared" si="8"/>
        <v>16.559198356045659</v>
      </c>
      <c r="L185" s="20"/>
      <c r="N185" s="15"/>
      <c r="O185" s="15" t="s">
        <v>247</v>
      </c>
      <c r="P185" s="15">
        <v>1</v>
      </c>
      <c r="Q185" s="15">
        <f>DC181</f>
        <v>188.73022666604939</v>
      </c>
      <c r="R185" s="15">
        <f>DC182</f>
        <v>176.66693880069164</v>
      </c>
      <c r="S185" s="15">
        <f>DC183</f>
        <v>191.14278591242763</v>
      </c>
      <c r="T185" s="15">
        <f>DB181</f>
        <v>13.381870270404773</v>
      </c>
      <c r="U185" s="15">
        <f>DB182</f>
        <v>13.161883003560346</v>
      </c>
      <c r="V185" s="15">
        <f>DB183</f>
        <v>13.425762024548545</v>
      </c>
      <c r="W185" s="15"/>
      <c r="X185" s="15"/>
      <c r="Y185" s="15">
        <f>MOD(Q185+$U$5,360)</f>
        <v>242.23022666604939</v>
      </c>
      <c r="Z185" s="15">
        <f>IF(Y185&gt;180,360-Y185,Y185)</f>
        <v>117.76977333395061</v>
      </c>
      <c r="AA185" s="15">
        <f>T185</f>
        <v>13.381870270404773</v>
      </c>
      <c r="AB185" s="15">
        <f>IF(Y185&gt;90,IF(Y185&lt;270,1,0),0)</f>
        <v>1</v>
      </c>
      <c r="AC185" s="15">
        <f t="shared" ref="AC185:AC246" si="14">ABS(TAN(RADIANS(ABS($U$4)))/TAN(RADIANS(ABS(Z185))))</f>
        <v>0.39968547743331112</v>
      </c>
      <c r="AD185" s="15">
        <f>IF(AB185=0,IF($S$4="N",-AC185,AC185),IF($S$4="N",AC185,-AC185))</f>
        <v>0.39968547743331112</v>
      </c>
      <c r="AE185" s="15">
        <f>IF(AA185&gt;0,ABS(TAN(RADIANS(AA185))/SIN(RADIANS(Y185))),-ABS(TAN(RADIANS(AA185))/SIN(RADIANS(Y185))))</f>
        <v>0.26886529792194319</v>
      </c>
      <c r="AF185" s="15">
        <f>AD185+AE185</f>
        <v>0.66855077535525431</v>
      </c>
      <c r="AG185" s="15">
        <f>ABS(DEGREES(ATAN(1/(COS(RADIANS(ABS($U$4)))*AF185))))</f>
        <v>61.963775043184938</v>
      </c>
      <c r="AH185" s="15">
        <f>IF(AF185&lt;0,IF(Y185&lt;180,180+AG185,180-AG185),IF(Y185&lt;180,360-AG185,AG185))</f>
        <v>61.963775043184938</v>
      </c>
      <c r="AI185" s="15">
        <f t="shared" ref="AI185:AI246" si="15">AA185-$U$4</f>
        <v>-23.818129729595228</v>
      </c>
      <c r="AJ185" s="21">
        <f t="shared" ref="AJ185:AJ246" si="16">DEGREES(ASIN(SIN(RADIANS($U$4))*SIN(RADIANS(AA185))+COS(RADIANS($U$4))*COS(RADIANS(AA185))*COS(RADIANS(Y185))))</f>
        <v>-12.774500326713554</v>
      </c>
      <c r="AK185" s="21">
        <f t="shared" ref="AK185:AK246" si="17">AJ185</f>
        <v>-12.774500326713554</v>
      </c>
      <c r="AL185" s="2" t="s">
        <v>247</v>
      </c>
      <c r="AM185" s="21">
        <f t="shared" ref="AM185:AM246" si="18">AH185</f>
        <v>61.963775043184938</v>
      </c>
      <c r="AN185" s="21">
        <f t="shared" ref="AN185:AN246" si="19">AJ185</f>
        <v>-12.774500326713554</v>
      </c>
      <c r="AO185" s="21"/>
      <c r="AP185" s="21"/>
      <c r="AQ185" s="21"/>
      <c r="AR185" s="21"/>
      <c r="AS185" s="15"/>
      <c r="AT185" s="21"/>
      <c r="AU185" s="22"/>
      <c r="AV185" s="21"/>
      <c r="AW185" s="15"/>
      <c r="AX185" s="21"/>
      <c r="AY185" s="15"/>
      <c r="AZ185" s="15"/>
      <c r="BA185" s="15"/>
      <c r="BB185" s="15"/>
      <c r="BC185" s="15"/>
      <c r="BD185" s="19"/>
      <c r="BF185" s="19"/>
      <c r="BH185" s="19"/>
      <c r="BI185" s="19"/>
      <c r="BJ185" s="19"/>
      <c r="BK185" s="19"/>
      <c r="BL185" s="19"/>
      <c r="BN185" s="19"/>
      <c r="BO185" s="19"/>
      <c r="BP185" s="19"/>
      <c r="BQ185" s="19"/>
      <c r="BX185" s="19"/>
      <c r="BZ185" s="19"/>
      <c r="CA185" s="19"/>
      <c r="CB185" s="19"/>
      <c r="CC185" s="19"/>
      <c r="CD185" s="19"/>
      <c r="CE185" s="19"/>
      <c r="CF185" s="19"/>
      <c r="CG185" s="19"/>
      <c r="CH185" s="19"/>
      <c r="CI185" s="19"/>
      <c r="CJ185" s="19"/>
      <c r="CL185" s="19"/>
      <c r="CM185" s="19"/>
      <c r="CN185" s="19"/>
      <c r="CO185" s="19"/>
      <c r="CP185" s="19"/>
      <c r="CR185" s="19"/>
      <c r="CS185" s="19"/>
      <c r="CT185" s="19"/>
      <c r="CU185" s="19"/>
      <c r="CV185" s="19"/>
      <c r="CW185" s="15"/>
      <c r="CX185" s="15"/>
      <c r="CY185" s="21"/>
      <c r="CZ185" s="15"/>
      <c r="DA185" s="15"/>
      <c r="DB185" s="15"/>
      <c r="DC185" s="15"/>
      <c r="DD185" s="15"/>
      <c r="DE185" s="15"/>
      <c r="DF185" s="15"/>
      <c r="DG185" s="15"/>
      <c r="DH185" s="15"/>
      <c r="DI185" s="15"/>
      <c r="DJ185" s="15"/>
      <c r="DK185" s="15"/>
      <c r="DL185" s="15"/>
      <c r="DM185" s="15"/>
      <c r="DN185" s="15"/>
      <c r="DO185" s="15"/>
      <c r="DP185" s="15"/>
      <c r="DQ185" s="10"/>
      <c r="DR185" s="10"/>
      <c r="DS185" s="10"/>
      <c r="DT185" s="10"/>
      <c r="DU185" s="10"/>
      <c r="DV185" s="10"/>
      <c r="DW185" s="10"/>
      <c r="DX185" s="10"/>
      <c r="DY185" s="10"/>
      <c r="DZ185" s="10"/>
      <c r="EA185" s="10"/>
      <c r="EB185" s="15"/>
      <c r="EC185" s="15"/>
      <c r="ED185" s="15"/>
      <c r="EE185" s="15"/>
      <c r="EF185" s="15"/>
      <c r="EG185" s="15"/>
      <c r="EH185" s="15"/>
      <c r="EI185" s="15"/>
      <c r="EJ185" s="15"/>
      <c r="EK185" s="15"/>
      <c r="EL185" s="15"/>
      <c r="EM185" s="15"/>
      <c r="EN185" s="15"/>
      <c r="EO185" s="15"/>
      <c r="EP185" s="15"/>
      <c r="EQ185" s="15"/>
      <c r="ER185" s="15"/>
      <c r="ES185" s="15"/>
      <c r="ET185" s="15"/>
      <c r="EU185" s="15"/>
      <c r="EV185" s="15"/>
      <c r="EW185" s="15"/>
      <c r="EX185" s="15"/>
      <c r="EY185" s="15"/>
      <c r="EZ185" s="15"/>
      <c r="FA185" s="15"/>
      <c r="FB185" s="15"/>
      <c r="FC185" s="15"/>
      <c r="FD185" s="15"/>
      <c r="FE185" s="15"/>
      <c r="FF185" s="15"/>
      <c r="FG185" s="15"/>
      <c r="FH185" s="15"/>
      <c r="FI185" s="15"/>
      <c r="FJ185" s="15"/>
      <c r="FK185" s="15"/>
      <c r="FL185" s="15"/>
      <c r="FM185" s="15"/>
      <c r="FN185" s="15"/>
      <c r="FO185" s="15"/>
    </row>
    <row r="186" spans="2:245" s="2" customFormat="1" ht="15" customHeight="1">
      <c r="B186" s="8" t="s">
        <v>157</v>
      </c>
      <c r="C186" s="2">
        <f>(12+54/60+0/3600)</f>
        <v>12.9</v>
      </c>
      <c r="D186" s="2">
        <f>55+57.4/60</f>
        <v>55.956666666666663</v>
      </c>
      <c r="E186" s="17">
        <f t="shared" si="13"/>
        <v>166.12330403974369</v>
      </c>
      <c r="F186" s="17">
        <f t="shared" si="4"/>
        <v>55.81750428049196</v>
      </c>
      <c r="G186" s="17">
        <f t="shared" si="5"/>
        <v>-14.072369883828495</v>
      </c>
      <c r="H186" s="17">
        <f t="shared" si="6"/>
        <v>4.2833657197078132</v>
      </c>
      <c r="I186" s="19">
        <f t="shared" si="7"/>
        <v>166.12676302143112</v>
      </c>
      <c r="J186" s="19">
        <f t="shared" si="8"/>
        <v>55.819281940980609</v>
      </c>
      <c r="L186" s="20"/>
      <c r="N186" s="15"/>
      <c r="O186" s="15" t="s">
        <v>152</v>
      </c>
      <c r="P186" s="15">
        <v>0</v>
      </c>
      <c r="Q186" s="15"/>
      <c r="R186" s="15"/>
      <c r="S186" s="15"/>
      <c r="T186" s="15"/>
      <c r="U186" s="15"/>
      <c r="V186" s="15"/>
      <c r="W186" s="15"/>
      <c r="X186" s="15"/>
      <c r="Y186" s="15">
        <f t="shared" ref="Y186:Y219" si="20">MOD(V$181+$U$5+I181,360)</f>
        <v>221.00323210649753</v>
      </c>
      <c r="Z186" s="15">
        <f>IF(Y186&gt;180,360-Y186,Y186)</f>
        <v>138.99676789350247</v>
      </c>
      <c r="AA186" s="15">
        <f>J181</f>
        <v>-40.209084889669306</v>
      </c>
      <c r="AB186" s="15">
        <f>IF(Y186&gt;90,IF(Y186&lt;270,1,0),0)</f>
        <v>1</v>
      </c>
      <c r="AC186" s="15">
        <f t="shared" si="14"/>
        <v>0.87307767120046675</v>
      </c>
      <c r="AD186" s="15">
        <f>IF(AB186=0,IF($S$4="N",-AC186,AC186),IF($S$4="N",AC186,-AC186))</f>
        <v>0.87307767120046675</v>
      </c>
      <c r="AE186" s="15">
        <f>IF(AA186&gt;0,ABS(TAN(RADIANS(AA186))/SIN(RADIANS(Y186))),-ABS(TAN(RADIANS(AA186))/SIN(RADIANS(Y186))))</f>
        <v>-1.2884244590920251</v>
      </c>
      <c r="AF186" s="15">
        <f>AD186+AE186</f>
        <v>-0.41534678789155832</v>
      </c>
      <c r="AG186" s="15">
        <f>ABS(DEGREES(ATAN(1/(COS(RADIANS(ABS($U$4)))*AF186))))</f>
        <v>71.693918126197033</v>
      </c>
      <c r="AH186" s="15">
        <f>IF(AF186&lt;0,IF(Y186&lt;180,180+AG186,180-AG186),IF(Y186&lt;180,360-AG186,AG186))</f>
        <v>108.30608187380297</v>
      </c>
      <c r="AI186" s="15">
        <f t="shared" si="15"/>
        <v>-77.409084889669316</v>
      </c>
      <c r="AJ186" s="21">
        <f t="shared" si="16"/>
        <v>-58.145097233834164</v>
      </c>
      <c r="AK186" s="21">
        <f t="shared" si="17"/>
        <v>-58.145097233834164</v>
      </c>
      <c r="AL186" s="2" t="s">
        <v>152</v>
      </c>
      <c r="AM186" s="21">
        <f t="shared" si="18"/>
        <v>108.30608187380297</v>
      </c>
      <c r="AN186" s="21">
        <f t="shared" si="19"/>
        <v>-58.145097233834164</v>
      </c>
      <c r="AO186" s="21"/>
      <c r="AP186" s="21"/>
      <c r="AQ186" s="21"/>
      <c r="AR186" s="21"/>
      <c r="AS186" s="15"/>
      <c r="AT186" s="21"/>
      <c r="AU186" s="22"/>
      <c r="AV186" s="21"/>
      <c r="AW186" s="15"/>
      <c r="AX186" s="21"/>
      <c r="AY186" s="15"/>
      <c r="AZ186" s="15"/>
      <c r="BA186" s="15"/>
      <c r="BB186" s="15"/>
      <c r="BC186" s="15"/>
      <c r="BD186" s="19"/>
      <c r="BF186" s="19"/>
      <c r="BH186" s="19"/>
      <c r="BI186" s="19"/>
      <c r="BJ186" s="19"/>
      <c r="BK186" s="19"/>
      <c r="BL186" s="19"/>
      <c r="BN186" s="19"/>
      <c r="BO186" s="19"/>
      <c r="BP186" s="19"/>
      <c r="BQ186" s="19"/>
      <c r="BX186" s="19"/>
      <c r="BZ186" s="19"/>
      <c r="CA186" s="19"/>
      <c r="CB186" s="19"/>
      <c r="CC186" s="19"/>
      <c r="CD186" s="19"/>
      <c r="CE186" s="19"/>
      <c r="CF186" s="19"/>
      <c r="CG186" s="19"/>
      <c r="CH186" s="19"/>
      <c r="CI186" s="19"/>
      <c r="CJ186" s="19"/>
      <c r="CL186" s="19"/>
      <c r="CM186" s="19"/>
      <c r="CN186" s="19"/>
      <c r="CO186" s="19"/>
      <c r="CP186" s="19"/>
      <c r="CR186" s="19"/>
      <c r="CS186" s="19"/>
      <c r="CT186" s="19"/>
      <c r="CU186" s="19"/>
      <c r="CV186" s="19"/>
      <c r="CW186" s="15"/>
      <c r="CX186" s="15"/>
      <c r="CY186" s="21"/>
      <c r="CZ186" s="15"/>
      <c r="DA186" s="15"/>
      <c r="DB186" s="15"/>
      <c r="DC186" s="15"/>
      <c r="DD186" s="15"/>
      <c r="DE186" s="15"/>
      <c r="DF186" s="15"/>
      <c r="DG186" s="15"/>
      <c r="DH186" s="15"/>
      <c r="DI186" s="15"/>
      <c r="DJ186" s="15"/>
      <c r="DK186" s="15"/>
      <c r="DL186" s="15"/>
      <c r="DM186" s="15"/>
      <c r="DN186" s="15"/>
      <c r="DO186" s="15"/>
      <c r="DP186" s="15"/>
      <c r="DQ186" s="10"/>
      <c r="DR186" s="10"/>
      <c r="DS186" s="10"/>
      <c r="DT186" s="10"/>
      <c r="DU186" s="10"/>
      <c r="DV186" s="10"/>
      <c r="DW186" s="10"/>
      <c r="DX186" s="10"/>
      <c r="DY186" s="10"/>
      <c r="DZ186" s="10"/>
      <c r="EA186" s="10"/>
      <c r="EB186" s="15"/>
      <c r="EC186" s="15"/>
      <c r="ED186" s="15"/>
      <c r="EE186" s="15"/>
      <c r="EF186" s="15"/>
      <c r="EG186" s="15"/>
      <c r="EH186" s="15"/>
      <c r="EI186" s="15"/>
      <c r="EJ186" s="15"/>
      <c r="EK186" s="15"/>
      <c r="EL186" s="15"/>
      <c r="EM186" s="15"/>
      <c r="EN186" s="15"/>
      <c r="EO186" s="15"/>
      <c r="EP186" s="15"/>
      <c r="EQ186" s="15"/>
      <c r="ER186" s="15"/>
      <c r="ES186" s="15"/>
      <c r="ET186" s="15"/>
      <c r="EU186" s="15"/>
      <c r="EV186" s="15"/>
      <c r="EW186" s="15"/>
      <c r="EX186" s="15"/>
      <c r="EY186" s="15"/>
      <c r="EZ186" s="15"/>
      <c r="FA186" s="15"/>
      <c r="FB186" s="15"/>
      <c r="FC186" s="15"/>
      <c r="FD186" s="15"/>
      <c r="FE186" s="15"/>
      <c r="FF186" s="15"/>
      <c r="FG186" s="15"/>
      <c r="FH186" s="15"/>
      <c r="FI186" s="15"/>
      <c r="FJ186" s="15"/>
      <c r="FK186" s="15"/>
      <c r="FL186" s="15"/>
      <c r="FM186" s="15"/>
      <c r="FN186" s="15"/>
      <c r="FO186" s="15"/>
    </row>
    <row r="187" spans="2:245" s="2" customFormat="1" ht="15" customHeight="1">
      <c r="B187" s="8" t="s">
        <v>158</v>
      </c>
      <c r="C187" s="2">
        <f>(13+47/60+31/3600)</f>
        <v>13.791944444444445</v>
      </c>
      <c r="D187" s="2">
        <f>49+18.7/60</f>
        <v>49.311666666666667</v>
      </c>
      <c r="E187" s="17">
        <f t="shared" si="13"/>
        <v>152.75174636997949</v>
      </c>
      <c r="F187" s="17">
        <f t="shared" si="4"/>
        <v>49.184012000487968</v>
      </c>
      <c r="G187" s="17">
        <f t="shared" si="5"/>
        <v>-14.072369883828495</v>
      </c>
      <c r="H187" s="17">
        <f t="shared" si="6"/>
        <v>4.2833657197078132</v>
      </c>
      <c r="I187" s="19">
        <f t="shared" si="7"/>
        <v>152.75459056703846</v>
      </c>
      <c r="J187" s="19">
        <f t="shared" si="8"/>
        <v>49.185682648906919</v>
      </c>
      <c r="L187" s="20"/>
      <c r="N187" s="15"/>
      <c r="O187" s="15" t="s">
        <v>153</v>
      </c>
      <c r="P187" s="15">
        <v>0</v>
      </c>
      <c r="Q187" s="15"/>
      <c r="R187" s="15"/>
      <c r="S187" s="15"/>
      <c r="T187" s="15"/>
      <c r="U187" s="15"/>
      <c r="V187" s="15"/>
      <c r="W187" s="15"/>
      <c r="X187" s="15"/>
      <c r="Y187" s="15">
        <f t="shared" si="20"/>
        <v>241.14172896010723</v>
      </c>
      <c r="Z187" s="15">
        <f t="shared" ref="Z187:Z219" si="21">IF(Y187&gt;180,360-Y187,Y187)</f>
        <v>118.85827103989277</v>
      </c>
      <c r="AA187" s="15">
        <f t="shared" ref="AA187:AA219" si="22">J182</f>
        <v>-57.11441136241384</v>
      </c>
      <c r="AB187" s="15">
        <f t="shared" ref="AB187:AB219" si="23">IF(Y187&gt;90,IF(Y187&lt;270,1,0),0)</f>
        <v>1</v>
      </c>
      <c r="AC187" s="15">
        <f t="shared" si="14"/>
        <v>0.41829232712860892</v>
      </c>
      <c r="AD187" s="15">
        <f t="shared" ref="AD187:AD219" si="24">IF(AB187=0,IF($S$4="N",-AC187,AC187),IF($S$4="N",AC187,-AC187))</f>
        <v>0.41829232712860892</v>
      </c>
      <c r="AE187" s="15">
        <f t="shared" ref="AE187:AE219" si="25">IF(AA187&gt;0,ABS(TAN(RADIANS(AA187))/SIN(RADIANS(Y187))),-ABS(TAN(RADIANS(AA187))/SIN(RADIANS(Y187))))</f>
        <v>-1.765915465797933</v>
      </c>
      <c r="AF187" s="15">
        <f t="shared" ref="AF187:AF219" si="26">AD187+AE187</f>
        <v>-1.347623138669324</v>
      </c>
      <c r="AG187" s="15">
        <f t="shared" ref="AG187:AG219" si="27">ABS(DEGREES(ATAN(1/(COS(RADIANS(ABS($U$4)))*AF187))))</f>
        <v>42.971941130749023</v>
      </c>
      <c r="AH187" s="15">
        <f t="shared" ref="AH187:AH219" si="28">IF(AF187&lt;0,IF(Y187&lt;180,180+AG187,180-AG187),IF(Y187&lt;180,360-AG187,AG187))</f>
        <v>137.02805886925097</v>
      </c>
      <c r="AI187" s="15">
        <f t="shared" si="15"/>
        <v>-94.314411362413836</v>
      </c>
      <c r="AJ187" s="21">
        <f t="shared" si="16"/>
        <v>-45.762428717592272</v>
      </c>
      <c r="AK187" s="21">
        <f t="shared" si="17"/>
        <v>-45.762428717592272</v>
      </c>
      <c r="AL187" s="2" t="s">
        <v>153</v>
      </c>
      <c r="AM187" s="21">
        <f t="shared" si="18"/>
        <v>137.02805886925097</v>
      </c>
      <c r="AN187" s="21">
        <f t="shared" si="19"/>
        <v>-45.762428717592272</v>
      </c>
      <c r="AO187" s="21"/>
      <c r="AP187" s="21"/>
      <c r="AQ187" s="21"/>
      <c r="AR187" s="21"/>
      <c r="AS187" s="15"/>
      <c r="AT187" s="21"/>
      <c r="AU187" s="22"/>
      <c r="AV187" s="21"/>
      <c r="AW187" s="15"/>
      <c r="AX187" s="21"/>
      <c r="AY187" s="15"/>
      <c r="AZ187" s="15"/>
      <c r="BA187" s="15"/>
      <c r="BB187" s="15"/>
      <c r="BC187" s="15"/>
      <c r="BD187" s="19"/>
      <c r="BF187" s="19"/>
      <c r="BH187" s="19"/>
      <c r="BI187" s="19"/>
      <c r="BJ187" s="19"/>
      <c r="BK187" s="19"/>
      <c r="BL187" s="19"/>
      <c r="BN187" s="19"/>
      <c r="BO187" s="19"/>
      <c r="BP187" s="19"/>
      <c r="BQ187" s="19"/>
      <c r="BX187" s="19"/>
      <c r="BZ187" s="19"/>
      <c r="CA187" s="19"/>
      <c r="CB187" s="19"/>
      <c r="CC187" s="19"/>
      <c r="CD187" s="19"/>
      <c r="CE187" s="19"/>
      <c r="CF187" s="19"/>
      <c r="CG187" s="19"/>
      <c r="CH187" s="19"/>
      <c r="CI187" s="19"/>
      <c r="CJ187" s="19"/>
      <c r="CL187" s="19"/>
      <c r="CM187" s="19"/>
      <c r="CN187" s="19"/>
      <c r="CO187" s="19"/>
      <c r="CP187" s="19"/>
      <c r="CR187" s="19"/>
      <c r="CS187" s="19"/>
      <c r="CT187" s="19"/>
      <c r="CU187" s="19"/>
      <c r="CV187" s="19"/>
      <c r="CW187" s="15"/>
      <c r="CX187" s="15"/>
      <c r="CY187" s="21"/>
      <c r="CZ187" s="15"/>
      <c r="DA187" s="15"/>
      <c r="DB187" s="15"/>
      <c r="DC187" s="15"/>
      <c r="DD187" s="15"/>
      <c r="DE187" s="15"/>
      <c r="DF187" s="15"/>
      <c r="DG187" s="15"/>
      <c r="DH187" s="15"/>
      <c r="DI187" s="15"/>
      <c r="DJ187" s="15"/>
      <c r="DK187" s="15"/>
      <c r="DL187" s="15"/>
      <c r="DM187" s="15"/>
      <c r="DN187" s="15"/>
      <c r="DO187" s="15"/>
      <c r="DP187" s="15"/>
      <c r="DQ187" s="10"/>
      <c r="DR187" s="10"/>
      <c r="DS187" s="10"/>
      <c r="DT187" s="10"/>
      <c r="DU187" s="10"/>
      <c r="DV187" s="10"/>
      <c r="DW187" s="10"/>
      <c r="DX187" s="10"/>
      <c r="DY187" s="10"/>
      <c r="DZ187" s="10"/>
      <c r="EA187" s="10"/>
      <c r="EB187" s="15"/>
      <c r="EC187" s="15"/>
      <c r="ED187" s="15"/>
      <c r="EE187" s="15"/>
      <c r="EF187" s="15"/>
      <c r="EG187" s="15"/>
      <c r="EH187" s="15"/>
      <c r="EI187" s="15"/>
      <c r="EJ187" s="15"/>
      <c r="EK187" s="15"/>
      <c r="EL187" s="15"/>
      <c r="EM187" s="15"/>
      <c r="EN187" s="15"/>
      <c r="EO187" s="15"/>
      <c r="EP187" s="15"/>
      <c r="EQ187" s="15"/>
      <c r="ER187" s="15"/>
      <c r="ES187" s="15"/>
      <c r="ET187" s="15"/>
      <c r="EU187" s="15"/>
      <c r="EV187" s="15"/>
      <c r="EW187" s="15"/>
      <c r="EX187" s="15"/>
      <c r="EY187" s="15"/>
      <c r="EZ187" s="15"/>
      <c r="FA187" s="15"/>
      <c r="FB187" s="15"/>
      <c r="FC187" s="15"/>
      <c r="FD187" s="15"/>
      <c r="FE187" s="15"/>
      <c r="FF187" s="15"/>
      <c r="FG187" s="15"/>
      <c r="FH187" s="15"/>
      <c r="FI187" s="15"/>
      <c r="FJ187" s="15"/>
      <c r="FK187" s="15"/>
      <c r="FL187" s="15"/>
      <c r="FM187" s="15"/>
      <c r="FN187" s="15"/>
      <c r="FO187" s="15"/>
    </row>
    <row r="188" spans="2:245" s="2" customFormat="1" ht="15" customHeight="1">
      <c r="B188" s="8" t="s">
        <v>207</v>
      </c>
      <c r="C188" s="2">
        <f>(22+8/60+11/3600)</f>
        <v>22.136388888888888</v>
      </c>
      <c r="D188" s="2">
        <f>-46-57.9/60</f>
        <v>-46.965000000000003</v>
      </c>
      <c r="E188" s="17">
        <f t="shared" si="13"/>
        <v>27.682522675230359</v>
      </c>
      <c r="F188" s="17">
        <f t="shared" si="4"/>
        <v>-46.838581736265162</v>
      </c>
      <c r="G188" s="17">
        <f t="shared" si="5"/>
        <v>-14.072369883828495</v>
      </c>
      <c r="H188" s="17">
        <f t="shared" si="6"/>
        <v>4.2833657197078132</v>
      </c>
      <c r="I188" s="19">
        <f t="shared" si="7"/>
        <v>27.683784992894843</v>
      </c>
      <c r="J188" s="19">
        <f t="shared" si="8"/>
        <v>-46.839506959909805</v>
      </c>
      <c r="L188" s="20"/>
      <c r="N188" s="15"/>
      <c r="O188" s="24" t="s">
        <v>154</v>
      </c>
      <c r="P188" s="15">
        <v>0</v>
      </c>
      <c r="Q188" s="15"/>
      <c r="R188" s="15"/>
      <c r="S188" s="15"/>
      <c r="T188" s="15"/>
      <c r="U188" s="15"/>
      <c r="V188" s="15"/>
      <c r="W188" s="15"/>
      <c r="X188" s="15"/>
      <c r="Y188" s="15">
        <f t="shared" si="20"/>
        <v>78.970577825730516</v>
      </c>
      <c r="Z188" s="15">
        <f t="shared" si="21"/>
        <v>78.970577825730516</v>
      </c>
      <c r="AA188" s="15">
        <f t="shared" si="22"/>
        <v>-63.232019591029747</v>
      </c>
      <c r="AB188" s="15">
        <f t="shared" si="23"/>
        <v>0</v>
      </c>
      <c r="AC188" s="15">
        <f t="shared" si="14"/>
        <v>0.14794723095954704</v>
      </c>
      <c r="AD188" s="15">
        <f t="shared" si="24"/>
        <v>-0.14794723095954704</v>
      </c>
      <c r="AE188" s="15">
        <f t="shared" si="25"/>
        <v>-2.0197217070293836</v>
      </c>
      <c r="AF188" s="15">
        <f t="shared" si="26"/>
        <v>-2.1676689379889305</v>
      </c>
      <c r="AG188" s="15">
        <f t="shared" si="27"/>
        <v>30.078072321371817</v>
      </c>
      <c r="AH188" s="15">
        <f t="shared" si="28"/>
        <v>210.07807232137182</v>
      </c>
      <c r="AI188" s="15">
        <f t="shared" si="15"/>
        <v>-100.43201959102976</v>
      </c>
      <c r="AJ188" s="21">
        <f t="shared" si="16"/>
        <v>-28.110738081197677</v>
      </c>
      <c r="AK188" s="21">
        <f t="shared" si="17"/>
        <v>-28.110738081197677</v>
      </c>
      <c r="AL188" s="8" t="s">
        <v>154</v>
      </c>
      <c r="AM188" s="21">
        <f t="shared" si="18"/>
        <v>210.07807232137182</v>
      </c>
      <c r="AN188" s="21">
        <f t="shared" si="19"/>
        <v>-28.110738081197677</v>
      </c>
      <c r="AO188" s="21"/>
      <c r="AP188" s="21"/>
      <c r="AQ188" s="21"/>
      <c r="AR188" s="21"/>
      <c r="AS188" s="15"/>
      <c r="AT188" s="21"/>
      <c r="AU188" s="22"/>
      <c r="AV188" s="21"/>
      <c r="AW188" s="15"/>
      <c r="AX188" s="21"/>
      <c r="AY188" s="15"/>
      <c r="AZ188" s="15"/>
      <c r="BA188" s="15"/>
      <c r="BB188" s="15"/>
      <c r="BC188" s="15"/>
      <c r="BD188" s="19"/>
      <c r="BF188" s="19"/>
      <c r="BH188" s="19"/>
      <c r="BI188" s="19"/>
      <c r="BJ188" s="19"/>
      <c r="BK188" s="19"/>
      <c r="BL188" s="19"/>
      <c r="BN188" s="19"/>
      <c r="BO188" s="19"/>
      <c r="BP188" s="19"/>
      <c r="BQ188" s="19"/>
      <c r="BX188" s="19"/>
      <c r="BZ188" s="19"/>
      <c r="CA188" s="19"/>
      <c r="CB188" s="19"/>
      <c r="CC188" s="19"/>
      <c r="CD188" s="19"/>
      <c r="CE188" s="19"/>
      <c r="CF188" s="19"/>
      <c r="CG188" s="19"/>
      <c r="CH188" s="19"/>
      <c r="CI188" s="19"/>
      <c r="CJ188" s="19"/>
      <c r="CL188" s="19"/>
      <c r="CM188" s="19"/>
      <c r="CN188" s="19"/>
      <c r="CO188" s="19"/>
      <c r="CP188" s="19"/>
      <c r="CR188" s="19"/>
      <c r="CS188" s="19"/>
      <c r="CT188" s="19"/>
      <c r="CU188" s="19"/>
      <c r="CV188" s="19"/>
      <c r="CW188" s="15"/>
      <c r="CX188" s="15"/>
      <c r="CY188" s="21"/>
      <c r="CZ188" s="15"/>
      <c r="DA188" s="15"/>
      <c r="DB188" s="15"/>
      <c r="DC188" s="15"/>
      <c r="DD188" s="15"/>
      <c r="DE188" s="15"/>
      <c r="DF188" s="15"/>
      <c r="DG188" s="15"/>
      <c r="DH188" s="15"/>
      <c r="DI188" s="15"/>
      <c r="DJ188" s="15"/>
      <c r="DK188" s="15"/>
      <c r="DL188" s="15"/>
      <c r="DM188" s="15"/>
      <c r="DN188" s="15"/>
      <c r="DO188" s="15"/>
      <c r="DP188" s="15"/>
      <c r="DQ188" s="10"/>
      <c r="DR188" s="10"/>
      <c r="DS188" s="10"/>
      <c r="DT188" s="10"/>
      <c r="DU188" s="10"/>
      <c r="DV188" s="10"/>
      <c r="DW188" s="10"/>
      <c r="DX188" s="10"/>
      <c r="DY188" s="10"/>
      <c r="DZ188" s="10"/>
      <c r="EA188" s="10"/>
      <c r="EB188" s="15"/>
      <c r="EC188" s="15"/>
      <c r="ED188" s="15"/>
      <c r="EE188" s="15"/>
      <c r="EF188" s="15"/>
      <c r="EG188" s="15"/>
      <c r="EH188" s="15"/>
      <c r="EI188" s="15"/>
      <c r="EJ188" s="15"/>
      <c r="EK188" s="15"/>
      <c r="EL188" s="15"/>
      <c r="EM188" s="15"/>
      <c r="EN188" s="15"/>
      <c r="EO188" s="15"/>
      <c r="EP188" s="15"/>
      <c r="EQ188" s="15"/>
      <c r="ER188" s="15"/>
      <c r="ES188" s="15"/>
      <c r="ET188" s="15"/>
      <c r="EU188" s="15"/>
      <c r="EV188" s="15"/>
      <c r="EW188" s="15"/>
      <c r="EX188" s="15"/>
      <c r="EY188" s="15"/>
      <c r="EZ188" s="15"/>
      <c r="FA188" s="15"/>
      <c r="FB188" s="15"/>
      <c r="FC188" s="15"/>
      <c r="FD188" s="15"/>
      <c r="FE188" s="15"/>
      <c r="FF188" s="15"/>
      <c r="FG188" s="15"/>
      <c r="FH188" s="15"/>
      <c r="FI188" s="15"/>
      <c r="FJ188" s="15"/>
      <c r="FK188" s="15"/>
      <c r="FL188" s="15"/>
      <c r="FM188" s="15"/>
      <c r="FN188" s="15"/>
      <c r="FO188" s="15"/>
    </row>
    <row r="189" spans="2:245" s="2" customFormat="1" ht="15" customHeight="1">
      <c r="B189" s="8" t="s">
        <v>159</v>
      </c>
      <c r="C189" s="2">
        <f>(5+36/60+13/3600)</f>
        <v>5.6036111111111104</v>
      </c>
      <c r="D189" s="2">
        <f>-1-11.7/60</f>
        <v>-1.1950000000000001</v>
      </c>
      <c r="E189" s="17">
        <f t="shared" si="13"/>
        <v>275.61672073235707</v>
      </c>
      <c r="F189" s="17">
        <f t="shared" ref="F189:F237" si="29">D189+(20.04*COS(RADIANS(C189*15))*($L$4-36526)/365)/3600</f>
        <v>-1.1801747960997351</v>
      </c>
      <c r="G189" s="17">
        <f t="shared" si="5"/>
        <v>-14.072369883828495</v>
      </c>
      <c r="H189" s="17">
        <f t="shared" si="6"/>
        <v>4.2833657197078132</v>
      </c>
      <c r="I189" s="19">
        <f t="shared" si="7"/>
        <v>275.6170257425091</v>
      </c>
      <c r="J189" s="19">
        <f t="shared" si="8"/>
        <v>-1.1802196943515089</v>
      </c>
      <c r="L189" s="20"/>
      <c r="N189" s="15"/>
      <c r="O189" s="24" t="s">
        <v>155</v>
      </c>
      <c r="P189" s="15">
        <v>0</v>
      </c>
      <c r="Q189" s="15"/>
      <c r="R189" s="15"/>
      <c r="S189" s="15"/>
      <c r="T189" s="15"/>
      <c r="U189" s="15"/>
      <c r="V189" s="15"/>
      <c r="W189" s="15"/>
      <c r="X189" s="15"/>
      <c r="Y189" s="15">
        <f t="shared" si="20"/>
        <v>160.91021092831625</v>
      </c>
      <c r="Z189" s="15">
        <f t="shared" si="21"/>
        <v>160.91021092831625</v>
      </c>
      <c r="AA189" s="15">
        <f t="shared" si="22"/>
        <v>-29.009021577096046</v>
      </c>
      <c r="AB189" s="15">
        <f t="shared" si="23"/>
        <v>1</v>
      </c>
      <c r="AC189" s="15">
        <f t="shared" si="14"/>
        <v>2.1932445585143876</v>
      </c>
      <c r="AD189" s="15">
        <f t="shared" si="24"/>
        <v>2.1932445585143876</v>
      </c>
      <c r="AE189" s="15">
        <f t="shared" si="25"/>
        <v>-1.6955076273228669</v>
      </c>
      <c r="AF189" s="15">
        <f t="shared" si="26"/>
        <v>0.49773693119152074</v>
      </c>
      <c r="AG189" s="15">
        <f t="shared" si="27"/>
        <v>68.373537879127966</v>
      </c>
      <c r="AH189" s="15">
        <f t="shared" si="28"/>
        <v>291.62646212087202</v>
      </c>
      <c r="AI189" s="15">
        <f t="shared" si="15"/>
        <v>-66.209021577096053</v>
      </c>
      <c r="AJ189" s="21">
        <f t="shared" si="16"/>
        <v>-72.080678736451944</v>
      </c>
      <c r="AK189" s="21">
        <f t="shared" si="17"/>
        <v>-72.080678736451944</v>
      </c>
      <c r="AL189" s="8" t="s">
        <v>155</v>
      </c>
      <c r="AM189" s="21">
        <f t="shared" si="18"/>
        <v>291.62646212087202</v>
      </c>
      <c r="AN189" s="21">
        <f t="shared" si="19"/>
        <v>-72.080678736451944</v>
      </c>
      <c r="AO189" s="21"/>
      <c r="AP189" s="21"/>
      <c r="AQ189" s="21"/>
      <c r="AR189" s="21"/>
      <c r="AS189" s="15"/>
      <c r="AT189" s="21"/>
      <c r="AU189" s="22"/>
      <c r="AV189" s="21"/>
      <c r="AW189" s="15"/>
      <c r="AX189" s="21"/>
      <c r="AY189" s="15"/>
      <c r="AZ189" s="15"/>
      <c r="BA189" s="15"/>
      <c r="BB189" s="15"/>
      <c r="BC189" s="15"/>
      <c r="BD189" s="19"/>
      <c r="BF189" s="19"/>
      <c r="BH189" s="19"/>
      <c r="BI189" s="19"/>
      <c r="BJ189" s="19"/>
      <c r="BK189" s="19"/>
      <c r="BL189" s="19"/>
      <c r="BN189" s="19"/>
      <c r="BO189" s="19"/>
      <c r="BP189" s="19"/>
      <c r="BQ189" s="19"/>
      <c r="BX189" s="19"/>
      <c r="BZ189" s="19"/>
      <c r="CA189" s="19"/>
      <c r="CB189" s="19"/>
      <c r="CC189" s="19"/>
      <c r="CD189" s="19"/>
      <c r="CE189" s="19"/>
      <c r="CF189" s="19"/>
      <c r="CG189" s="19"/>
      <c r="CH189" s="19"/>
      <c r="CI189" s="19"/>
      <c r="CJ189" s="19"/>
      <c r="CL189" s="19"/>
      <c r="CM189" s="19"/>
      <c r="CN189" s="19"/>
      <c r="CO189" s="19"/>
      <c r="CP189" s="19"/>
      <c r="CR189" s="19"/>
      <c r="CS189" s="19"/>
      <c r="CT189" s="19"/>
      <c r="CU189" s="19"/>
      <c r="CV189" s="19"/>
      <c r="CW189" s="15"/>
      <c r="CX189" s="15"/>
      <c r="CY189" s="21"/>
      <c r="CZ189" s="15"/>
      <c r="DA189" s="15"/>
      <c r="DB189" s="15"/>
      <c r="DC189" s="15"/>
      <c r="DD189" s="15"/>
      <c r="DE189" s="15"/>
      <c r="DF189" s="15"/>
      <c r="DG189" s="15"/>
      <c r="DH189" s="15"/>
      <c r="DI189" s="15"/>
      <c r="DJ189" s="15"/>
      <c r="DK189" s="15"/>
      <c r="DL189" s="15"/>
      <c r="DM189" s="15"/>
      <c r="DN189" s="15"/>
      <c r="DO189" s="15"/>
      <c r="DP189" s="15"/>
      <c r="DQ189" s="10"/>
      <c r="DR189" s="10"/>
      <c r="DS189" s="10"/>
      <c r="DT189" s="10"/>
      <c r="DU189" s="10"/>
      <c r="DV189" s="10"/>
      <c r="DW189" s="10"/>
      <c r="DX189" s="10"/>
      <c r="DY189" s="10"/>
      <c r="DZ189" s="10"/>
      <c r="EA189" s="10"/>
      <c r="EB189" s="15"/>
      <c r="EC189" s="15"/>
      <c r="ED189" s="15"/>
      <c r="EE189" s="15"/>
      <c r="EF189" s="15"/>
      <c r="EG189" s="15"/>
      <c r="EH189" s="15"/>
      <c r="EI189" s="15"/>
      <c r="EJ189" s="15"/>
      <c r="EK189" s="15"/>
      <c r="EL189" s="15"/>
      <c r="EM189" s="15"/>
      <c r="EN189" s="15"/>
      <c r="EO189" s="15"/>
      <c r="EP189" s="15"/>
      <c r="EQ189" s="15"/>
      <c r="ER189" s="15"/>
      <c r="ES189" s="15"/>
      <c r="ET189" s="15"/>
      <c r="EU189" s="15"/>
      <c r="EV189" s="15"/>
      <c r="EW189" s="15"/>
      <c r="EX189" s="15"/>
      <c r="EY189" s="15"/>
      <c r="EZ189" s="15"/>
      <c r="FA189" s="15"/>
      <c r="FB189" s="15"/>
      <c r="FC189" s="15"/>
      <c r="FD189" s="15"/>
      <c r="FE189" s="15"/>
      <c r="FF189" s="15"/>
      <c r="FG189" s="15"/>
      <c r="FH189" s="15"/>
      <c r="FI189" s="15"/>
      <c r="FJ189" s="15"/>
      <c r="FK189" s="15"/>
      <c r="FL189" s="15"/>
      <c r="FM189" s="15"/>
      <c r="FN189" s="15"/>
      <c r="FO189" s="15"/>
    </row>
    <row r="190" spans="2:245" s="2" customFormat="1" ht="15" customHeight="1">
      <c r="B190" s="8" t="s">
        <v>160</v>
      </c>
      <c r="C190" s="2">
        <f>(9+27/60+36/3600)</f>
        <v>9.4599999999999991</v>
      </c>
      <c r="D190" s="2">
        <f>-8-39.5/60</f>
        <v>-8.6583333333333332</v>
      </c>
      <c r="E190" s="17">
        <f t="shared" si="13"/>
        <v>217.77417783725434</v>
      </c>
      <c r="F190" s="17">
        <f t="shared" si="29"/>
        <v>-8.7709568864928062</v>
      </c>
      <c r="G190" s="17">
        <f t="shared" si="5"/>
        <v>-14.072369883828495</v>
      </c>
      <c r="H190" s="17">
        <f t="shared" si="6"/>
        <v>4.2833657197078132</v>
      </c>
      <c r="I190" s="19">
        <f t="shared" si="7"/>
        <v>217.77486275724141</v>
      </c>
      <c r="J190" s="19">
        <f t="shared" si="8"/>
        <v>-8.769537646733248</v>
      </c>
      <c r="L190" s="20"/>
      <c r="N190" s="15"/>
      <c r="O190" s="24" t="s">
        <v>156</v>
      </c>
      <c r="P190" s="15">
        <v>0</v>
      </c>
      <c r="Q190" s="15"/>
      <c r="R190" s="15"/>
      <c r="S190" s="15"/>
      <c r="T190" s="15"/>
      <c r="U190" s="15"/>
      <c r="V190" s="15"/>
      <c r="W190" s="15"/>
      <c r="X190" s="15"/>
      <c r="Y190" s="15">
        <f t="shared" si="20"/>
        <v>196.57452932182218</v>
      </c>
      <c r="Z190" s="15">
        <f t="shared" si="21"/>
        <v>163.42547067817782</v>
      </c>
      <c r="AA190" s="15">
        <f t="shared" si="22"/>
        <v>16.559198356045659</v>
      </c>
      <c r="AB190" s="15">
        <f t="shared" si="23"/>
        <v>1</v>
      </c>
      <c r="AC190" s="15">
        <f t="shared" si="14"/>
        <v>2.5502938985756241</v>
      </c>
      <c r="AD190" s="15">
        <f t="shared" si="24"/>
        <v>2.5502938985756241</v>
      </c>
      <c r="AE190" s="15">
        <f t="shared" si="25"/>
        <v>1.0423307996720159</v>
      </c>
      <c r="AF190" s="15">
        <f t="shared" si="26"/>
        <v>3.59262469824764</v>
      </c>
      <c r="AG190" s="15">
        <f t="shared" si="27"/>
        <v>19.262009297074123</v>
      </c>
      <c r="AH190" s="15">
        <f t="shared" si="28"/>
        <v>19.262009297074123</v>
      </c>
      <c r="AI190" s="15">
        <f t="shared" si="15"/>
        <v>-20.640801643954344</v>
      </c>
      <c r="AJ190" s="21">
        <f t="shared" si="16"/>
        <v>-34.018225121869904</v>
      </c>
      <c r="AK190" s="21">
        <f t="shared" si="17"/>
        <v>-34.018225121869904</v>
      </c>
      <c r="AL190" s="8" t="s">
        <v>156</v>
      </c>
      <c r="AM190" s="21">
        <f t="shared" si="18"/>
        <v>19.262009297074123</v>
      </c>
      <c r="AN190" s="21">
        <f t="shared" si="19"/>
        <v>-34.018225121869904</v>
      </c>
      <c r="AO190" s="21"/>
      <c r="AP190" s="21"/>
      <c r="AQ190" s="21"/>
      <c r="AR190" s="21"/>
      <c r="AS190" s="15"/>
      <c r="AT190" s="21"/>
      <c r="AU190" s="22"/>
      <c r="AV190" s="21"/>
      <c r="AW190" s="15"/>
      <c r="AX190" s="21"/>
      <c r="AY190" s="15"/>
      <c r="AZ190" s="15"/>
      <c r="BA190" s="15"/>
      <c r="BB190" s="15"/>
      <c r="BC190" s="15"/>
      <c r="BD190" s="19"/>
      <c r="BF190" s="19"/>
      <c r="BH190" s="19"/>
      <c r="BI190" s="19"/>
      <c r="BJ190" s="19"/>
      <c r="BK190" s="19"/>
      <c r="BL190" s="19"/>
      <c r="BN190" s="19"/>
      <c r="BO190" s="19"/>
      <c r="BP190" s="19"/>
      <c r="BQ190" s="19"/>
      <c r="BX190" s="19"/>
      <c r="BZ190" s="19"/>
      <c r="CA190" s="19"/>
      <c r="CB190" s="19"/>
      <c r="CC190" s="19"/>
      <c r="CD190" s="19"/>
      <c r="CE190" s="19"/>
      <c r="CF190" s="19"/>
      <c r="CG190" s="19"/>
      <c r="CH190" s="19"/>
      <c r="CI190" s="19"/>
      <c r="CJ190" s="19"/>
      <c r="CL190" s="19"/>
      <c r="CM190" s="19"/>
      <c r="CN190" s="19"/>
      <c r="CO190" s="19"/>
      <c r="CP190" s="19"/>
      <c r="CR190" s="19"/>
      <c r="CS190" s="19"/>
      <c r="CT190" s="19"/>
      <c r="CU190" s="19"/>
      <c r="CV190" s="19"/>
      <c r="CW190" s="15"/>
      <c r="CX190" s="15"/>
      <c r="CY190" s="21"/>
      <c r="CZ190" s="15"/>
      <c r="DA190" s="15"/>
      <c r="DB190" s="15"/>
      <c r="DC190" s="15"/>
      <c r="DD190" s="15"/>
      <c r="DE190" s="15"/>
      <c r="DF190" s="15"/>
      <c r="DG190" s="15"/>
      <c r="DH190" s="15"/>
      <c r="DI190" s="15"/>
      <c r="DJ190" s="15"/>
      <c r="DK190" s="15"/>
      <c r="DL190" s="15"/>
      <c r="DM190" s="15"/>
      <c r="DN190" s="15"/>
      <c r="DO190" s="15"/>
      <c r="DP190" s="15"/>
      <c r="DQ190" s="10"/>
      <c r="DR190" s="10"/>
      <c r="DS190" s="10"/>
      <c r="DT190" s="10"/>
      <c r="DU190" s="10"/>
      <c r="DV190" s="10"/>
      <c r="DW190" s="10"/>
      <c r="DX190" s="10"/>
      <c r="DY190" s="10"/>
      <c r="DZ190" s="10"/>
      <c r="EA190" s="10"/>
      <c r="EB190" s="15"/>
      <c r="EC190" s="15"/>
      <c r="ED190" s="15"/>
      <c r="EE190" s="15"/>
      <c r="EF190" s="15"/>
      <c r="EG190" s="15"/>
      <c r="EH190" s="15"/>
      <c r="EI190" s="15"/>
      <c r="EJ190" s="15"/>
      <c r="EK190" s="15"/>
      <c r="EL190" s="15"/>
      <c r="EM190" s="15"/>
      <c r="EN190" s="15"/>
      <c r="EO190" s="15"/>
      <c r="EP190" s="15"/>
      <c r="EQ190" s="15"/>
      <c r="ER190" s="15"/>
      <c r="ES190" s="15"/>
      <c r="ET190" s="15"/>
      <c r="EU190" s="15"/>
      <c r="EV190" s="15"/>
      <c r="EW190" s="15"/>
      <c r="EX190" s="15"/>
      <c r="EY190" s="15"/>
      <c r="EZ190" s="15"/>
      <c r="FA190" s="15"/>
      <c r="FB190" s="15"/>
      <c r="FC190" s="15"/>
      <c r="FD190" s="15"/>
      <c r="FE190" s="15"/>
      <c r="FF190" s="15"/>
      <c r="FG190" s="15"/>
      <c r="FH190" s="15"/>
      <c r="FI190" s="15"/>
      <c r="FJ190" s="15"/>
      <c r="FK190" s="15"/>
      <c r="FL190" s="15"/>
      <c r="FM190" s="15"/>
      <c r="FN190" s="15"/>
      <c r="FO190" s="15"/>
    </row>
    <row r="191" spans="2:245" s="2" customFormat="1" ht="15" customHeight="1">
      <c r="B191" s="8" t="s">
        <v>161</v>
      </c>
      <c r="C191" s="2">
        <f>(15+34/60+39/3600)</f>
        <v>15.577500000000001</v>
      </c>
      <c r="D191" s="2">
        <f>26+42.9/60</f>
        <v>26.715</v>
      </c>
      <c r="E191" s="17">
        <f t="shared" si="13"/>
        <v>125.98875360421357</v>
      </c>
      <c r="F191" s="17">
        <f t="shared" si="29"/>
        <v>26.630197547311937</v>
      </c>
      <c r="G191" s="17">
        <f t="shared" si="5"/>
        <v>-14.072369883828495</v>
      </c>
      <c r="H191" s="17">
        <f t="shared" si="6"/>
        <v>4.2833657197078132</v>
      </c>
      <c r="I191" s="19">
        <f t="shared" si="7"/>
        <v>125.98798519825091</v>
      </c>
      <c r="J191" s="19">
        <f t="shared" si="8"/>
        <v>26.631438463134415</v>
      </c>
      <c r="L191" s="20"/>
      <c r="N191" s="15"/>
      <c r="O191" s="24" t="s">
        <v>157</v>
      </c>
      <c r="P191" s="15">
        <v>0</v>
      </c>
      <c r="Q191" s="15"/>
      <c r="R191" s="15"/>
      <c r="S191" s="15"/>
      <c r="T191" s="15"/>
      <c r="U191" s="15"/>
      <c r="V191" s="15"/>
      <c r="W191" s="15"/>
      <c r="X191" s="15"/>
      <c r="Y191" s="15">
        <f t="shared" si="20"/>
        <v>72.017845434880996</v>
      </c>
      <c r="Z191" s="15">
        <f t="shared" si="21"/>
        <v>72.017845434880996</v>
      </c>
      <c r="AA191" s="15">
        <f t="shared" si="22"/>
        <v>55.819281940980609</v>
      </c>
      <c r="AB191" s="15">
        <f t="shared" si="23"/>
        <v>0</v>
      </c>
      <c r="AC191" s="15">
        <f t="shared" si="14"/>
        <v>0.24636612838465241</v>
      </c>
      <c r="AD191" s="15">
        <f t="shared" si="24"/>
        <v>-0.24636612838465241</v>
      </c>
      <c r="AE191" s="15">
        <f t="shared" si="25"/>
        <v>1.5481436430128646</v>
      </c>
      <c r="AF191" s="15">
        <f t="shared" si="26"/>
        <v>1.3017775146282122</v>
      </c>
      <c r="AG191" s="15">
        <f t="shared" si="27"/>
        <v>43.962025905087209</v>
      </c>
      <c r="AH191" s="15">
        <f t="shared" si="28"/>
        <v>316.03797409491278</v>
      </c>
      <c r="AI191" s="15">
        <f t="shared" si="15"/>
        <v>18.619281940980606</v>
      </c>
      <c r="AJ191" s="21">
        <f t="shared" si="16"/>
        <v>39.666463557034135</v>
      </c>
      <c r="AK191" s="21">
        <f t="shared" si="17"/>
        <v>39.666463557034135</v>
      </c>
      <c r="AL191" s="8" t="s">
        <v>157</v>
      </c>
      <c r="AM191" s="21">
        <f t="shared" si="18"/>
        <v>316.03797409491278</v>
      </c>
      <c r="AN191" s="21">
        <f t="shared" si="19"/>
        <v>39.666463557034135</v>
      </c>
      <c r="AO191" s="21"/>
      <c r="AP191" s="21"/>
      <c r="AQ191" s="21"/>
      <c r="AR191" s="21"/>
      <c r="AS191" s="15"/>
      <c r="AT191" s="21"/>
      <c r="AU191" s="22"/>
      <c r="AV191" s="21"/>
      <c r="AW191" s="15"/>
      <c r="AX191" s="21"/>
      <c r="AY191" s="15"/>
      <c r="AZ191" s="15"/>
      <c r="BA191" s="15"/>
      <c r="BB191" s="15"/>
      <c r="BC191" s="15"/>
      <c r="BD191" s="19"/>
      <c r="BF191" s="19"/>
      <c r="BH191" s="19"/>
      <c r="BI191" s="19"/>
      <c r="BJ191" s="19"/>
      <c r="BK191" s="19"/>
      <c r="BL191" s="19"/>
      <c r="BN191" s="19"/>
      <c r="BO191" s="19"/>
      <c r="BP191" s="19"/>
      <c r="BQ191" s="19"/>
      <c r="BX191" s="19"/>
      <c r="BZ191" s="19"/>
      <c r="CA191" s="19"/>
      <c r="CB191" s="19"/>
      <c r="CC191" s="19"/>
      <c r="CD191" s="19"/>
      <c r="CE191" s="19"/>
      <c r="CF191" s="19"/>
      <c r="CG191" s="19"/>
      <c r="CH191" s="19"/>
      <c r="CI191" s="19"/>
      <c r="CJ191" s="19"/>
      <c r="CL191" s="19"/>
      <c r="CM191" s="19"/>
      <c r="CN191" s="19"/>
      <c r="CO191" s="19"/>
      <c r="CP191" s="19"/>
      <c r="CR191" s="19"/>
      <c r="CS191" s="19"/>
      <c r="CT191" s="19"/>
      <c r="CU191" s="19"/>
      <c r="CV191" s="19"/>
      <c r="CW191" s="15"/>
      <c r="CX191" s="15"/>
      <c r="CY191" s="21"/>
      <c r="CZ191" s="15"/>
      <c r="DA191" s="15"/>
      <c r="DB191" s="15"/>
      <c r="DC191" s="15"/>
      <c r="DD191" s="15"/>
      <c r="DE191" s="15"/>
      <c r="DF191" s="15"/>
      <c r="DG191" s="15"/>
      <c r="DH191" s="15"/>
      <c r="DI191" s="15"/>
      <c r="DJ191" s="15"/>
      <c r="DK191" s="15"/>
      <c r="DL191" s="15"/>
      <c r="DM191" s="15"/>
      <c r="DN191" s="15"/>
      <c r="DO191" s="15"/>
      <c r="DP191" s="15"/>
      <c r="DQ191" s="10"/>
      <c r="DR191" s="10"/>
      <c r="DS191" s="10"/>
      <c r="DT191" s="10"/>
      <c r="DU191" s="10"/>
      <c r="DV191" s="10"/>
      <c r="DW191" s="10"/>
      <c r="DX191" s="10"/>
      <c r="DY191" s="10"/>
      <c r="DZ191" s="10"/>
      <c r="EA191" s="10"/>
      <c r="EB191" s="15"/>
      <c r="EC191" s="15"/>
      <c r="ED191" s="15"/>
      <c r="EE191" s="15"/>
      <c r="EF191" s="15"/>
      <c r="EG191" s="15"/>
      <c r="EH191" s="15"/>
      <c r="EI191" s="15"/>
      <c r="EJ191" s="15"/>
      <c r="EK191" s="15"/>
      <c r="EL191" s="15"/>
      <c r="EM191" s="15"/>
      <c r="EN191" s="15"/>
      <c r="EO191" s="15"/>
      <c r="EP191" s="15"/>
      <c r="EQ191" s="15"/>
      <c r="ER191" s="15"/>
      <c r="ES191" s="15"/>
      <c r="ET191" s="15"/>
      <c r="EU191" s="15"/>
      <c r="EV191" s="15"/>
      <c r="EW191" s="15"/>
      <c r="EX191" s="15"/>
      <c r="EY191" s="15"/>
      <c r="EZ191" s="15"/>
      <c r="FA191" s="15"/>
      <c r="FB191" s="15"/>
      <c r="FC191" s="15"/>
      <c r="FD191" s="15"/>
      <c r="FE191" s="15"/>
      <c r="FF191" s="15"/>
      <c r="FG191" s="15"/>
      <c r="FH191" s="15"/>
      <c r="FI191" s="15"/>
      <c r="FJ191" s="15"/>
      <c r="FK191" s="15"/>
      <c r="FL191" s="15"/>
      <c r="FM191" s="15"/>
      <c r="FN191" s="15"/>
      <c r="FO191" s="15"/>
    </row>
    <row r="192" spans="2:245" s="2" customFormat="1" ht="15" customHeight="1">
      <c r="B192" s="8" t="s">
        <v>162</v>
      </c>
      <c r="C192" s="2">
        <f>(0+8/60+22/3600)</f>
        <v>0.13944444444444445</v>
      </c>
      <c r="D192" s="2">
        <f>29+5.5/60</f>
        <v>29.091666666666665</v>
      </c>
      <c r="E192" s="17">
        <f t="shared" si="13"/>
        <v>357.57873542208995</v>
      </c>
      <c r="F192" s="17">
        <f t="shared" si="29"/>
        <v>29.234688022164782</v>
      </c>
      <c r="G192" s="17">
        <f t="shared" si="5"/>
        <v>-14.072369883828495</v>
      </c>
      <c r="H192" s="17">
        <f t="shared" si="6"/>
        <v>4.2833657197078132</v>
      </c>
      <c r="I192" s="19">
        <f t="shared" si="7"/>
        <v>357.57829712013466</v>
      </c>
      <c r="J192" s="19">
        <f t="shared" si="8"/>
        <v>29.233136957115406</v>
      </c>
      <c r="L192" s="20"/>
      <c r="N192" s="15"/>
      <c r="O192" s="24" t="s">
        <v>158</v>
      </c>
      <c r="P192" s="15">
        <v>0</v>
      </c>
      <c r="Q192" s="15"/>
      <c r="R192" s="15"/>
      <c r="S192" s="15"/>
      <c r="T192" s="15"/>
      <c r="U192" s="15"/>
      <c r="V192" s="15"/>
      <c r="W192" s="15"/>
      <c r="X192" s="15"/>
      <c r="Y192" s="15">
        <f t="shared" si="20"/>
        <v>58.645672980488371</v>
      </c>
      <c r="Z192" s="15">
        <f t="shared" si="21"/>
        <v>58.645672980488371</v>
      </c>
      <c r="AA192" s="15">
        <f t="shared" si="22"/>
        <v>49.185682648906919</v>
      </c>
      <c r="AB192" s="15">
        <f t="shared" si="23"/>
        <v>0</v>
      </c>
      <c r="AC192" s="15">
        <f t="shared" si="14"/>
        <v>0.46249069284355887</v>
      </c>
      <c r="AD192" s="15">
        <f t="shared" si="24"/>
        <v>-0.46249069284355887</v>
      </c>
      <c r="AE192" s="15">
        <f t="shared" si="25"/>
        <v>1.3559395357364949</v>
      </c>
      <c r="AF192" s="15">
        <f t="shared" si="26"/>
        <v>0.89344884289293613</v>
      </c>
      <c r="AG192" s="15">
        <f t="shared" si="27"/>
        <v>54.562111370515417</v>
      </c>
      <c r="AH192" s="15">
        <f t="shared" si="28"/>
        <v>305.43788862948458</v>
      </c>
      <c r="AI192" s="15">
        <f t="shared" si="15"/>
        <v>11.985682648906916</v>
      </c>
      <c r="AJ192" s="21">
        <f t="shared" si="16"/>
        <v>46.758564089546461</v>
      </c>
      <c r="AK192" s="21">
        <f t="shared" si="17"/>
        <v>46.758564089546461</v>
      </c>
      <c r="AL192" s="8" t="s">
        <v>158</v>
      </c>
      <c r="AM192" s="21">
        <f t="shared" si="18"/>
        <v>305.43788862948458</v>
      </c>
      <c r="AN192" s="21">
        <f t="shared" si="19"/>
        <v>46.758564089546461</v>
      </c>
      <c r="AO192" s="21"/>
      <c r="AP192" s="21"/>
      <c r="AQ192" s="21"/>
      <c r="AR192" s="21"/>
      <c r="AS192" s="15"/>
      <c r="AT192" s="21"/>
      <c r="AU192" s="22"/>
      <c r="AV192" s="21"/>
      <c r="AW192" s="15"/>
      <c r="AX192" s="21"/>
      <c r="AY192" s="15"/>
      <c r="AZ192" s="15"/>
      <c r="BA192" s="15"/>
      <c r="BB192" s="15"/>
      <c r="BC192" s="15"/>
      <c r="BD192" s="19"/>
      <c r="BF192" s="19"/>
      <c r="BH192" s="19"/>
      <c r="BI192" s="19"/>
      <c r="BJ192" s="19"/>
      <c r="BK192" s="19"/>
      <c r="BL192" s="19"/>
      <c r="BN192" s="19"/>
      <c r="BO192" s="19"/>
      <c r="BP192" s="19"/>
      <c r="BQ192" s="19"/>
      <c r="BX192" s="19"/>
      <c r="BZ192" s="19"/>
      <c r="CA192" s="19"/>
      <c r="CB192" s="19"/>
      <c r="CC192" s="19"/>
      <c r="CD192" s="19"/>
      <c r="CE192" s="19"/>
      <c r="CF192" s="19"/>
      <c r="CG192" s="19"/>
      <c r="CH192" s="19"/>
      <c r="CI192" s="19"/>
      <c r="CJ192" s="19"/>
      <c r="CL192" s="19"/>
      <c r="CM192" s="19"/>
      <c r="CN192" s="19"/>
      <c r="CO192" s="19"/>
      <c r="CP192" s="19"/>
      <c r="CR192" s="19"/>
      <c r="CS192" s="19"/>
      <c r="CT192" s="19"/>
      <c r="CU192" s="19"/>
      <c r="CV192" s="19"/>
      <c r="CW192" s="15"/>
      <c r="CX192" s="15"/>
      <c r="CY192" s="21"/>
      <c r="CZ192" s="15"/>
      <c r="DA192" s="15"/>
      <c r="DB192" s="15"/>
      <c r="DC192" s="15"/>
      <c r="DD192" s="15"/>
      <c r="DE192" s="15"/>
      <c r="DF192" s="15"/>
      <c r="DG192" s="15"/>
      <c r="DH192" s="15"/>
      <c r="DI192" s="15"/>
      <c r="DJ192" s="15"/>
      <c r="DK192" s="15"/>
      <c r="DL192" s="15"/>
      <c r="DM192" s="15"/>
      <c r="DN192" s="15"/>
      <c r="DO192" s="15"/>
      <c r="DP192" s="15"/>
      <c r="DQ192" s="10"/>
      <c r="DR192" s="10"/>
      <c r="DS192" s="10"/>
      <c r="DT192" s="10"/>
      <c r="DU192" s="10"/>
      <c r="DV192" s="10"/>
      <c r="DW192" s="10"/>
      <c r="DX192" s="10"/>
      <c r="DY192" s="10"/>
      <c r="DZ192" s="10"/>
      <c r="EA192" s="10"/>
      <c r="EB192" s="15"/>
      <c r="EC192" s="15"/>
      <c r="ED192" s="15"/>
      <c r="EE192" s="15"/>
      <c r="EF192" s="15"/>
      <c r="EG192" s="15"/>
      <c r="EH192" s="15"/>
      <c r="EI192" s="15"/>
      <c r="EJ192" s="15"/>
      <c r="EK192" s="15"/>
      <c r="EL192" s="15"/>
      <c r="EM192" s="15"/>
      <c r="EN192" s="15"/>
      <c r="EO192" s="15"/>
      <c r="EP192" s="15"/>
      <c r="EQ192" s="15"/>
      <c r="ER192" s="15"/>
      <c r="ES192" s="15"/>
      <c r="ET192" s="15"/>
      <c r="EU192" s="15"/>
      <c r="EV192" s="15"/>
      <c r="EW192" s="15"/>
      <c r="EX192" s="15"/>
      <c r="EY192" s="15"/>
      <c r="EZ192" s="15"/>
      <c r="FA192" s="15"/>
      <c r="FB192" s="15"/>
      <c r="FC192" s="15"/>
      <c r="FD192" s="15"/>
      <c r="FE192" s="15"/>
      <c r="FF192" s="15"/>
      <c r="FG192" s="15"/>
      <c r="FH192" s="15"/>
      <c r="FI192" s="15"/>
      <c r="FJ192" s="15"/>
      <c r="FK192" s="15"/>
      <c r="FL192" s="15"/>
      <c r="FM192" s="15"/>
      <c r="FN192" s="15"/>
      <c r="FO192" s="15"/>
    </row>
    <row r="193" spans="2:171" s="2" customFormat="1" ht="15" customHeight="1">
      <c r="B193" s="8" t="s">
        <v>163</v>
      </c>
      <c r="C193" s="2">
        <f>(19+50/60+45/3600)</f>
        <v>19.845833333333331</v>
      </c>
      <c r="D193" s="2">
        <f>8+52.1/60</f>
        <v>8.8683333333333341</v>
      </c>
      <c r="E193" s="17">
        <f t="shared" si="13"/>
        <v>61.975514916444524</v>
      </c>
      <c r="F193" s="17">
        <f t="shared" si="29"/>
        <v>8.9348323522439497</v>
      </c>
      <c r="G193" s="17">
        <f t="shared" si="5"/>
        <v>-14.072369883828495</v>
      </c>
      <c r="H193" s="17">
        <f t="shared" si="6"/>
        <v>4.2833657197078132</v>
      </c>
      <c r="I193" s="19">
        <f t="shared" si="7"/>
        <v>61.974556532256869</v>
      </c>
      <c r="J193" s="19">
        <f t="shared" si="8"/>
        <v>8.9345137585374843</v>
      </c>
      <c r="L193" s="20"/>
      <c r="N193" s="15"/>
      <c r="O193" s="24" t="s">
        <v>207</v>
      </c>
      <c r="P193" s="15">
        <v>0</v>
      </c>
      <c r="Q193" s="15"/>
      <c r="R193" s="15"/>
      <c r="S193" s="15"/>
      <c r="T193" s="15"/>
      <c r="U193" s="15"/>
      <c r="V193" s="15"/>
      <c r="W193" s="15"/>
      <c r="X193" s="15"/>
      <c r="Y193" s="15">
        <f t="shared" si="20"/>
        <v>293.57486740634477</v>
      </c>
      <c r="Z193" s="15">
        <f t="shared" si="21"/>
        <v>66.425132593655235</v>
      </c>
      <c r="AA193" s="15">
        <f t="shared" si="22"/>
        <v>-46.839506959909805</v>
      </c>
      <c r="AB193" s="15">
        <f t="shared" si="23"/>
        <v>0</v>
      </c>
      <c r="AC193" s="15">
        <f t="shared" si="14"/>
        <v>0.3312205697623572</v>
      </c>
      <c r="AD193" s="15">
        <f t="shared" si="24"/>
        <v>-0.3312205697623572</v>
      </c>
      <c r="AE193" s="15">
        <f t="shared" si="25"/>
        <v>-1.1634695705183171</v>
      </c>
      <c r="AF193" s="15">
        <f t="shared" si="26"/>
        <v>-1.4946901402806743</v>
      </c>
      <c r="AG193" s="15">
        <f t="shared" si="27"/>
        <v>40.028144474669375</v>
      </c>
      <c r="AH193" s="15">
        <f t="shared" si="28"/>
        <v>139.97185552533062</v>
      </c>
      <c r="AI193" s="15">
        <f t="shared" si="15"/>
        <v>-84.039506959909801</v>
      </c>
      <c r="AJ193" s="21">
        <f t="shared" si="16"/>
        <v>-12.891365683037229</v>
      </c>
      <c r="AK193" s="21">
        <f t="shared" si="17"/>
        <v>-12.891365683037229</v>
      </c>
      <c r="AL193" s="8" t="s">
        <v>207</v>
      </c>
      <c r="AM193" s="21">
        <f t="shared" si="18"/>
        <v>139.97185552533062</v>
      </c>
      <c r="AN193" s="21">
        <f t="shared" si="19"/>
        <v>-12.891365683037229</v>
      </c>
      <c r="AO193" s="21"/>
      <c r="AP193" s="21"/>
      <c r="AQ193" s="21"/>
      <c r="AR193" s="21"/>
      <c r="AS193" s="15"/>
      <c r="AT193" s="21"/>
      <c r="AU193" s="22"/>
      <c r="AV193" s="21"/>
      <c r="AW193" s="15"/>
      <c r="AX193" s="21"/>
      <c r="AY193" s="15"/>
      <c r="AZ193" s="15"/>
      <c r="BA193" s="15"/>
      <c r="BB193" s="15"/>
      <c r="BC193" s="15"/>
      <c r="BD193" s="19"/>
      <c r="BF193" s="19"/>
      <c r="BH193" s="19"/>
      <c r="BI193" s="19"/>
      <c r="BJ193" s="19"/>
      <c r="BK193" s="19"/>
      <c r="BL193" s="19"/>
      <c r="BN193" s="19"/>
      <c r="BO193" s="19"/>
      <c r="BP193" s="19"/>
      <c r="BQ193" s="19"/>
      <c r="BX193" s="19"/>
      <c r="BZ193" s="19"/>
      <c r="CA193" s="19"/>
      <c r="CB193" s="19"/>
      <c r="CC193" s="19"/>
      <c r="CD193" s="19"/>
      <c r="CE193" s="19"/>
      <c r="CF193" s="19"/>
      <c r="CG193" s="19"/>
      <c r="CH193" s="19"/>
      <c r="CI193" s="19"/>
      <c r="CJ193" s="19"/>
      <c r="CL193" s="19"/>
      <c r="CM193" s="19"/>
      <c r="CN193" s="19"/>
      <c r="CO193" s="19"/>
      <c r="CP193" s="19"/>
      <c r="CR193" s="19"/>
      <c r="CS193" s="19"/>
      <c r="CT193" s="19"/>
      <c r="CU193" s="19"/>
      <c r="CV193" s="19"/>
      <c r="CW193" s="15"/>
      <c r="CX193" s="15"/>
      <c r="CY193" s="21"/>
      <c r="CZ193" s="15"/>
      <c r="DA193" s="15"/>
      <c r="DB193" s="15"/>
      <c r="DC193" s="15"/>
      <c r="DD193" s="15"/>
      <c r="DE193" s="15"/>
      <c r="DF193" s="15"/>
      <c r="DG193" s="15"/>
      <c r="DH193" s="15"/>
      <c r="DI193" s="15"/>
      <c r="DJ193" s="15"/>
      <c r="DK193" s="15"/>
      <c r="DL193" s="15"/>
      <c r="DM193" s="15"/>
      <c r="DN193" s="15"/>
      <c r="DO193" s="15"/>
      <c r="DP193" s="15"/>
      <c r="DQ193" s="10"/>
      <c r="DR193" s="10"/>
      <c r="DS193" s="10"/>
      <c r="DT193" s="10"/>
      <c r="DU193" s="10"/>
      <c r="DV193" s="10"/>
      <c r="DW193" s="10"/>
      <c r="DX193" s="10"/>
      <c r="DY193" s="10"/>
      <c r="DZ193" s="10"/>
      <c r="EA193" s="10"/>
      <c r="EB193" s="15"/>
      <c r="EC193" s="15"/>
      <c r="ED193" s="15"/>
      <c r="EE193" s="15"/>
      <c r="EF193" s="15"/>
      <c r="EG193" s="15"/>
      <c r="EH193" s="15"/>
      <c r="EI193" s="15"/>
      <c r="EJ193" s="15"/>
      <c r="EK193" s="15"/>
      <c r="EL193" s="15"/>
      <c r="EM193" s="15"/>
      <c r="EN193" s="15"/>
      <c r="EO193" s="15"/>
      <c r="EP193" s="15"/>
      <c r="EQ193" s="15"/>
      <c r="ER193" s="15"/>
      <c r="ES193" s="15"/>
      <c r="ET193" s="15"/>
      <c r="EU193" s="15"/>
      <c r="EV193" s="15"/>
      <c r="EW193" s="15"/>
      <c r="EX193" s="15"/>
      <c r="EY193" s="15"/>
      <c r="EZ193" s="15"/>
      <c r="FA193" s="15"/>
      <c r="FB193" s="15"/>
      <c r="FC193" s="15"/>
      <c r="FD193" s="15"/>
      <c r="FE193" s="15"/>
      <c r="FF193" s="15"/>
      <c r="FG193" s="15"/>
      <c r="FH193" s="15"/>
      <c r="FI193" s="15"/>
      <c r="FJ193" s="15"/>
      <c r="FK193" s="15"/>
      <c r="FL193" s="15"/>
      <c r="FM193" s="15"/>
      <c r="FN193" s="15"/>
      <c r="FO193" s="15"/>
    </row>
    <row r="194" spans="2:171" s="2" customFormat="1" ht="15" customHeight="1">
      <c r="B194" s="8" t="s">
        <v>164</v>
      </c>
      <c r="C194" s="2">
        <f>(0+26/60+16/3600)</f>
        <v>0.43777777777777777</v>
      </c>
      <c r="D194" s="2">
        <f>-42-18.7/60</f>
        <v>-42.311666666666667</v>
      </c>
      <c r="E194" s="17">
        <f t="shared" si="13"/>
        <v>353.10492463565288</v>
      </c>
      <c r="F194" s="17">
        <f t="shared" si="29"/>
        <v>-42.169488876508176</v>
      </c>
      <c r="G194" s="17">
        <f t="shared" si="5"/>
        <v>-14.072369883828495</v>
      </c>
      <c r="H194" s="17">
        <f t="shared" si="6"/>
        <v>4.2833657197078132</v>
      </c>
      <c r="I194" s="19">
        <f t="shared" si="7"/>
        <v>353.10641742858377</v>
      </c>
      <c r="J194" s="19">
        <f t="shared" si="8"/>
        <v>-42.171024580814212</v>
      </c>
      <c r="L194" s="20"/>
      <c r="N194" s="15"/>
      <c r="O194" s="24" t="s">
        <v>159</v>
      </c>
      <c r="P194" s="15">
        <v>0</v>
      </c>
      <c r="Q194" s="15"/>
      <c r="R194" s="15"/>
      <c r="S194" s="15"/>
      <c r="T194" s="15"/>
      <c r="U194" s="15"/>
      <c r="V194" s="15"/>
      <c r="W194" s="15"/>
      <c r="X194" s="15"/>
      <c r="Y194" s="15">
        <f t="shared" si="20"/>
        <v>181.50810815595901</v>
      </c>
      <c r="Z194" s="15">
        <f t="shared" si="21"/>
        <v>178.49189184404099</v>
      </c>
      <c r="AA194" s="15">
        <f t="shared" si="22"/>
        <v>-1.1802196943515089</v>
      </c>
      <c r="AB194" s="15">
        <f t="shared" si="23"/>
        <v>1</v>
      </c>
      <c r="AC194" s="15">
        <f t="shared" si="14"/>
        <v>28.830703915616983</v>
      </c>
      <c r="AD194" s="15">
        <f t="shared" si="24"/>
        <v>28.830703915616983</v>
      </c>
      <c r="AE194" s="15">
        <f t="shared" si="25"/>
        <v>-0.78278401540538867</v>
      </c>
      <c r="AF194" s="15">
        <f t="shared" si="26"/>
        <v>28.047919900211593</v>
      </c>
      <c r="AG194" s="15">
        <f t="shared" si="27"/>
        <v>2.5628907457900438</v>
      </c>
      <c r="AH194" s="15">
        <f t="shared" si="28"/>
        <v>2.5628907457900438</v>
      </c>
      <c r="AI194" s="15">
        <f t="shared" si="15"/>
        <v>-38.38021969435151</v>
      </c>
      <c r="AJ194" s="21">
        <f t="shared" si="16"/>
        <v>-53.953351886298726</v>
      </c>
      <c r="AK194" s="21">
        <f t="shared" si="17"/>
        <v>-53.953351886298726</v>
      </c>
      <c r="AL194" s="8" t="s">
        <v>159</v>
      </c>
      <c r="AM194" s="21">
        <f t="shared" si="18"/>
        <v>2.5628907457900438</v>
      </c>
      <c r="AN194" s="21">
        <f t="shared" si="19"/>
        <v>-53.953351886298726</v>
      </c>
      <c r="AO194" s="21"/>
      <c r="AP194" s="21"/>
      <c r="AQ194" s="21"/>
      <c r="AR194" s="21"/>
      <c r="AS194" s="15"/>
      <c r="AT194" s="21"/>
      <c r="AU194" s="22"/>
      <c r="AV194" s="21"/>
      <c r="AW194" s="15"/>
      <c r="AX194" s="21"/>
      <c r="AY194" s="15"/>
      <c r="AZ194" s="15"/>
      <c r="BA194" s="15"/>
      <c r="BB194" s="15"/>
      <c r="BC194" s="15"/>
      <c r="BD194" s="19"/>
      <c r="BF194" s="19"/>
      <c r="BH194" s="19"/>
      <c r="BI194" s="19"/>
      <c r="BJ194" s="19"/>
      <c r="BK194" s="19"/>
      <c r="BL194" s="19"/>
      <c r="BN194" s="19"/>
      <c r="BO194" s="19"/>
      <c r="BP194" s="19"/>
      <c r="BQ194" s="19"/>
      <c r="BX194" s="19"/>
      <c r="BZ194" s="19"/>
      <c r="CA194" s="19"/>
      <c r="CB194" s="19"/>
      <c r="CC194" s="19"/>
      <c r="CD194" s="19"/>
      <c r="CE194" s="19"/>
      <c r="CF194" s="19"/>
      <c r="CG194" s="19"/>
      <c r="CH194" s="19"/>
      <c r="CI194" s="19"/>
      <c r="CJ194" s="19"/>
      <c r="CL194" s="19"/>
      <c r="CM194" s="19"/>
      <c r="CN194" s="19"/>
      <c r="CO194" s="19"/>
      <c r="CP194" s="19"/>
      <c r="CR194" s="19"/>
      <c r="CS194" s="19"/>
      <c r="CT194" s="19"/>
      <c r="CU194" s="19"/>
      <c r="CV194" s="19"/>
      <c r="CW194" s="15"/>
      <c r="CX194" s="15"/>
      <c r="CY194" s="21"/>
      <c r="CZ194" s="15"/>
      <c r="DA194" s="15"/>
      <c r="DB194" s="15"/>
      <c r="DC194" s="15"/>
      <c r="DD194" s="15"/>
      <c r="DE194" s="15"/>
      <c r="DF194" s="15"/>
      <c r="DG194" s="15"/>
      <c r="DH194" s="15"/>
      <c r="DI194" s="15"/>
      <c r="DJ194" s="15"/>
      <c r="DK194" s="15"/>
      <c r="DL194" s="15"/>
      <c r="DM194" s="15"/>
      <c r="DN194" s="15"/>
      <c r="DO194" s="15"/>
      <c r="DP194" s="15"/>
      <c r="DQ194" s="10"/>
      <c r="DR194" s="10"/>
      <c r="DS194" s="10"/>
      <c r="DT194" s="10"/>
      <c r="DU194" s="10"/>
      <c r="DV194" s="10"/>
      <c r="DW194" s="10"/>
      <c r="DX194" s="10"/>
      <c r="DY194" s="10"/>
      <c r="DZ194" s="10"/>
      <c r="EA194" s="10"/>
      <c r="EB194" s="15"/>
      <c r="EC194" s="15"/>
      <c r="ED194" s="15"/>
      <c r="EE194" s="15"/>
      <c r="EF194" s="15"/>
      <c r="EG194" s="15"/>
      <c r="EH194" s="15"/>
      <c r="EI194" s="15"/>
      <c r="EJ194" s="15"/>
      <c r="EK194" s="15"/>
      <c r="EL194" s="15"/>
      <c r="EM194" s="15"/>
      <c r="EN194" s="15"/>
      <c r="EO194" s="15"/>
      <c r="EP194" s="15"/>
      <c r="EQ194" s="15"/>
      <c r="ER194" s="15"/>
      <c r="ES194" s="15"/>
      <c r="ET194" s="15"/>
      <c r="EU194" s="15"/>
      <c r="EV194" s="15"/>
      <c r="EW194" s="15"/>
      <c r="EX194" s="15"/>
      <c r="EY194" s="15"/>
      <c r="EZ194" s="15"/>
      <c r="FA194" s="15"/>
      <c r="FB194" s="15"/>
      <c r="FC194" s="15"/>
      <c r="FD194" s="15"/>
      <c r="FE194" s="15"/>
      <c r="FF194" s="15"/>
      <c r="FG194" s="15"/>
      <c r="FH194" s="15"/>
      <c r="FI194" s="15"/>
      <c r="FJ194" s="15"/>
      <c r="FK194" s="15"/>
      <c r="FL194" s="15"/>
      <c r="FM194" s="15"/>
      <c r="FN194" s="15"/>
      <c r="FO194" s="15"/>
    </row>
    <row r="195" spans="2:171" s="2" customFormat="1" ht="15" customHeight="1">
      <c r="B195" s="8" t="s">
        <v>165</v>
      </c>
      <c r="C195" s="2">
        <f>(16+29/60+22/3600)</f>
        <v>16.489444444444445</v>
      </c>
      <c r="D195" s="2">
        <f>-26-25.7/60</f>
        <v>-26.428333333333335</v>
      </c>
      <c r="E195" s="17">
        <f t="shared" si="13"/>
        <v>112.3491192342357</v>
      </c>
      <c r="F195" s="17">
        <f t="shared" si="29"/>
        <v>-26.48346690740782</v>
      </c>
      <c r="G195" s="17">
        <f t="shared" si="5"/>
        <v>-14.072369883828495</v>
      </c>
      <c r="H195" s="17">
        <f t="shared" si="6"/>
        <v>4.2833657197078132</v>
      </c>
      <c r="I195" s="19">
        <f t="shared" si="7"/>
        <v>112.3504513853742</v>
      </c>
      <c r="J195" s="19">
        <f t="shared" si="8"/>
        <v>-26.482530150066832</v>
      </c>
      <c r="L195" s="20"/>
      <c r="N195" s="15"/>
      <c r="O195" s="24" t="s">
        <v>160</v>
      </c>
      <c r="P195" s="15">
        <v>0</v>
      </c>
      <c r="Q195" s="15"/>
      <c r="R195" s="15"/>
      <c r="S195" s="15"/>
      <c r="T195" s="15"/>
      <c r="U195" s="15"/>
      <c r="V195" s="15"/>
      <c r="W195" s="15"/>
      <c r="X195" s="15"/>
      <c r="Y195" s="15">
        <f t="shared" si="20"/>
        <v>123.66594517069132</v>
      </c>
      <c r="Z195" s="15">
        <f t="shared" si="21"/>
        <v>123.66594517069132</v>
      </c>
      <c r="AA195" s="15">
        <f t="shared" si="22"/>
        <v>-8.769537646733248</v>
      </c>
      <c r="AB195" s="15">
        <f t="shared" si="23"/>
        <v>1</v>
      </c>
      <c r="AC195" s="15">
        <f t="shared" si="14"/>
        <v>0.5055660741512884</v>
      </c>
      <c r="AD195" s="15">
        <f t="shared" si="24"/>
        <v>0.5055660741512884</v>
      </c>
      <c r="AE195" s="15">
        <f t="shared" si="25"/>
        <v>-0.18535002322874483</v>
      </c>
      <c r="AF195" s="15">
        <f t="shared" si="26"/>
        <v>0.32021605092254357</v>
      </c>
      <c r="AG195" s="15">
        <f t="shared" si="27"/>
        <v>75.691130785126774</v>
      </c>
      <c r="AH195" s="15">
        <f t="shared" si="28"/>
        <v>284.3088692148732</v>
      </c>
      <c r="AI195" s="15">
        <f t="shared" si="15"/>
        <v>-45.969537646733251</v>
      </c>
      <c r="AJ195" s="21">
        <f t="shared" si="16"/>
        <v>-31.90899983206171</v>
      </c>
      <c r="AK195" s="21">
        <f t="shared" si="17"/>
        <v>-31.90899983206171</v>
      </c>
      <c r="AL195" s="8" t="s">
        <v>160</v>
      </c>
      <c r="AM195" s="21">
        <f t="shared" si="18"/>
        <v>284.3088692148732</v>
      </c>
      <c r="AN195" s="21">
        <f t="shared" si="19"/>
        <v>-31.90899983206171</v>
      </c>
      <c r="AO195" s="21"/>
      <c r="AP195" s="21"/>
      <c r="AQ195" s="21"/>
      <c r="AR195" s="21"/>
      <c r="AS195" s="15"/>
      <c r="AT195" s="21"/>
      <c r="AU195" s="22"/>
      <c r="AV195" s="21"/>
      <c r="AW195" s="15"/>
      <c r="AX195" s="21"/>
      <c r="AY195" s="15"/>
      <c r="AZ195" s="15"/>
      <c r="BA195" s="15"/>
      <c r="BB195" s="15"/>
      <c r="BC195" s="15"/>
      <c r="BD195" s="19"/>
      <c r="BF195" s="19"/>
      <c r="BH195" s="19"/>
      <c r="BI195" s="19"/>
      <c r="BJ195" s="19"/>
      <c r="BK195" s="19"/>
      <c r="BL195" s="19"/>
      <c r="BN195" s="19"/>
      <c r="BO195" s="19"/>
      <c r="BP195" s="19"/>
      <c r="BQ195" s="19"/>
      <c r="BX195" s="19"/>
      <c r="BZ195" s="19"/>
      <c r="CA195" s="19"/>
      <c r="CB195" s="19"/>
      <c r="CC195" s="19"/>
      <c r="CD195" s="19"/>
      <c r="CE195" s="19"/>
      <c r="CF195" s="19"/>
      <c r="CG195" s="19"/>
      <c r="CH195" s="19"/>
      <c r="CI195" s="19"/>
      <c r="CJ195" s="19"/>
      <c r="CL195" s="19"/>
      <c r="CM195" s="19"/>
      <c r="CN195" s="19"/>
      <c r="CO195" s="19"/>
      <c r="CP195" s="19"/>
      <c r="CR195" s="19"/>
      <c r="CS195" s="19"/>
      <c r="CT195" s="19"/>
      <c r="CU195" s="19"/>
      <c r="CV195" s="19"/>
      <c r="CW195" s="15"/>
      <c r="CX195" s="15"/>
      <c r="CY195" s="21"/>
      <c r="CZ195" s="15"/>
      <c r="DA195" s="15"/>
      <c r="DB195" s="15"/>
      <c r="DC195" s="15"/>
      <c r="DD195" s="15"/>
      <c r="DE195" s="15"/>
      <c r="DF195" s="15"/>
      <c r="DG195" s="15"/>
      <c r="DH195" s="15"/>
      <c r="DI195" s="15"/>
      <c r="DJ195" s="15"/>
      <c r="DK195" s="15"/>
      <c r="DL195" s="15"/>
      <c r="DM195" s="15"/>
      <c r="DN195" s="15"/>
      <c r="DO195" s="15"/>
      <c r="DP195" s="15"/>
      <c r="DQ195" s="10"/>
      <c r="DR195" s="10"/>
      <c r="DS195" s="10"/>
      <c r="DT195" s="10"/>
      <c r="DU195" s="10"/>
      <c r="DV195" s="10"/>
      <c r="DW195" s="10"/>
      <c r="DX195" s="10"/>
      <c r="DY195" s="10"/>
      <c r="DZ195" s="10"/>
      <c r="EA195" s="10"/>
      <c r="EB195" s="15"/>
      <c r="EC195" s="15"/>
      <c r="ED195" s="15"/>
      <c r="EE195" s="15"/>
      <c r="EF195" s="15"/>
      <c r="EG195" s="15"/>
      <c r="EH195" s="15"/>
      <c r="EI195" s="15"/>
      <c r="EJ195" s="15"/>
      <c r="EK195" s="15"/>
      <c r="EL195" s="15"/>
      <c r="EM195" s="15"/>
      <c r="EN195" s="15"/>
      <c r="EO195" s="15"/>
      <c r="EP195" s="15"/>
      <c r="EQ195" s="15"/>
      <c r="ER195" s="15"/>
      <c r="ES195" s="15"/>
      <c r="ET195" s="15"/>
      <c r="EU195" s="15"/>
      <c r="EV195" s="15"/>
      <c r="EW195" s="15"/>
      <c r="EX195" s="15"/>
      <c r="EY195" s="15"/>
      <c r="EZ195" s="15"/>
      <c r="FA195" s="15"/>
      <c r="FB195" s="15"/>
      <c r="FC195" s="15"/>
      <c r="FD195" s="15"/>
      <c r="FE195" s="15"/>
      <c r="FF195" s="15"/>
      <c r="FG195" s="15"/>
      <c r="FH195" s="15"/>
      <c r="FI195" s="15"/>
      <c r="FJ195" s="15"/>
      <c r="FK195" s="15"/>
      <c r="FL195" s="15"/>
      <c r="FM195" s="15"/>
      <c r="FN195" s="15"/>
      <c r="FO195" s="15"/>
    </row>
    <row r="196" spans="2:171" s="2" customFormat="1" ht="15" customHeight="1">
      <c r="B196" s="8" t="s">
        <v>166</v>
      </c>
      <c r="C196" s="2">
        <f>(14+15/60+39/3600)</f>
        <v>14.260833333333334</v>
      </c>
      <c r="D196" s="2">
        <f>19+11.2/60</f>
        <v>19.186666666666667</v>
      </c>
      <c r="E196" s="17">
        <f t="shared" si="13"/>
        <v>145.74582804168932</v>
      </c>
      <c r="F196" s="17">
        <f t="shared" si="29"/>
        <v>19.0678954546581</v>
      </c>
      <c r="G196" s="17">
        <f t="shared" si="5"/>
        <v>-14.072369883828495</v>
      </c>
      <c r="H196" s="17">
        <f t="shared" si="6"/>
        <v>4.2833657197078132</v>
      </c>
      <c r="I196" s="19">
        <f t="shared" si="7"/>
        <v>145.74492852228818</v>
      </c>
      <c r="J196" s="19">
        <f t="shared" si="8"/>
        <v>19.069479029011433</v>
      </c>
      <c r="L196" s="20"/>
      <c r="N196" s="15"/>
      <c r="O196" s="24" t="s">
        <v>161</v>
      </c>
      <c r="P196" s="15">
        <v>0</v>
      </c>
      <c r="Q196" s="15"/>
      <c r="R196" s="15"/>
      <c r="S196" s="15"/>
      <c r="T196" s="15"/>
      <c r="U196" s="15"/>
      <c r="V196" s="15"/>
      <c r="W196" s="15"/>
      <c r="X196" s="15"/>
      <c r="Y196" s="15">
        <f t="shared" si="20"/>
        <v>31.879067611700805</v>
      </c>
      <c r="Z196" s="15">
        <f t="shared" si="21"/>
        <v>31.879067611700805</v>
      </c>
      <c r="AA196" s="15">
        <f t="shared" si="22"/>
        <v>26.631438463134415</v>
      </c>
      <c r="AB196" s="15">
        <f t="shared" si="23"/>
        <v>0</v>
      </c>
      <c r="AC196" s="15">
        <f t="shared" si="14"/>
        <v>1.2204445026842365</v>
      </c>
      <c r="AD196" s="15">
        <f t="shared" si="24"/>
        <v>-1.2204445026842365</v>
      </c>
      <c r="AE196" s="15">
        <f t="shared" si="25"/>
        <v>0.94948394352074328</v>
      </c>
      <c r="AF196" s="15">
        <f t="shared" si="26"/>
        <v>-0.27096055916349326</v>
      </c>
      <c r="AG196" s="15">
        <f t="shared" si="27"/>
        <v>77.820772202978404</v>
      </c>
      <c r="AH196" s="15">
        <f t="shared" si="28"/>
        <v>257.82077220297839</v>
      </c>
      <c r="AI196" s="15">
        <f t="shared" si="15"/>
        <v>-10.568561536865587</v>
      </c>
      <c r="AJ196" s="21">
        <f t="shared" si="16"/>
        <v>61.120531983630165</v>
      </c>
      <c r="AK196" s="21">
        <f t="shared" si="17"/>
        <v>61.120531983630165</v>
      </c>
      <c r="AL196" s="8" t="s">
        <v>161</v>
      </c>
      <c r="AM196" s="21">
        <f t="shared" si="18"/>
        <v>257.82077220297839</v>
      </c>
      <c r="AN196" s="21">
        <f t="shared" si="19"/>
        <v>61.120531983630165</v>
      </c>
      <c r="AO196" s="21"/>
      <c r="AP196" s="21"/>
      <c r="AQ196" s="21"/>
      <c r="AR196" s="21"/>
      <c r="AS196" s="15"/>
      <c r="AT196" s="21"/>
      <c r="AU196" s="22"/>
      <c r="AV196" s="21"/>
      <c r="AW196" s="15"/>
      <c r="AX196" s="21"/>
      <c r="AY196" s="15"/>
      <c r="AZ196" s="15"/>
      <c r="BA196" s="15"/>
      <c r="BB196" s="15"/>
      <c r="BC196" s="15"/>
      <c r="BD196" s="19"/>
      <c r="BF196" s="19"/>
      <c r="BH196" s="19"/>
      <c r="BI196" s="19"/>
      <c r="BJ196" s="19"/>
      <c r="BK196" s="19"/>
      <c r="BL196" s="19"/>
      <c r="BN196" s="19"/>
      <c r="BO196" s="19"/>
      <c r="BP196" s="19"/>
      <c r="BQ196" s="19"/>
      <c r="BX196" s="19"/>
      <c r="BZ196" s="19"/>
      <c r="CA196" s="19"/>
      <c r="CB196" s="19"/>
      <c r="CC196" s="19"/>
      <c r="CD196" s="19"/>
      <c r="CE196" s="19"/>
      <c r="CF196" s="19"/>
      <c r="CG196" s="19"/>
      <c r="CH196" s="19"/>
      <c r="CI196" s="19"/>
      <c r="CJ196" s="19"/>
      <c r="CL196" s="19"/>
      <c r="CM196" s="19"/>
      <c r="CN196" s="19"/>
      <c r="CO196" s="19"/>
      <c r="CP196" s="19"/>
      <c r="CR196" s="19"/>
      <c r="CS196" s="19"/>
      <c r="CT196" s="19"/>
      <c r="CU196" s="19"/>
      <c r="CV196" s="19"/>
      <c r="CW196" s="15"/>
      <c r="CX196" s="15"/>
      <c r="CY196" s="21"/>
      <c r="CZ196" s="15"/>
      <c r="DA196" s="15"/>
      <c r="DB196" s="15"/>
      <c r="DC196" s="15"/>
      <c r="DD196" s="15"/>
      <c r="DE196" s="15"/>
      <c r="DF196" s="15"/>
      <c r="DG196" s="15"/>
      <c r="DH196" s="15"/>
      <c r="DI196" s="15"/>
      <c r="DJ196" s="15"/>
      <c r="DK196" s="15"/>
      <c r="DL196" s="15"/>
      <c r="DM196" s="15"/>
      <c r="DN196" s="15"/>
      <c r="DO196" s="15"/>
      <c r="DP196" s="15"/>
      <c r="DQ196" s="10"/>
      <c r="DR196" s="10"/>
      <c r="DS196" s="10"/>
      <c r="DT196" s="10"/>
      <c r="DU196" s="10"/>
      <c r="DV196" s="10"/>
      <c r="DW196" s="10"/>
      <c r="DX196" s="10"/>
      <c r="DY196" s="10"/>
      <c r="DZ196" s="10"/>
      <c r="EA196" s="10"/>
      <c r="EB196" s="15"/>
      <c r="EC196" s="15"/>
      <c r="ED196" s="15"/>
      <c r="EE196" s="15"/>
      <c r="EF196" s="15"/>
      <c r="EG196" s="15"/>
      <c r="EH196" s="15"/>
      <c r="EI196" s="15"/>
      <c r="EJ196" s="15"/>
      <c r="EK196" s="15"/>
      <c r="EL196" s="15"/>
      <c r="EM196" s="15"/>
      <c r="EN196" s="15"/>
      <c r="EO196" s="15"/>
      <c r="EP196" s="15"/>
      <c r="EQ196" s="15"/>
      <c r="ER196" s="15"/>
      <c r="ES196" s="15"/>
      <c r="ET196" s="15"/>
      <c r="EU196" s="15"/>
      <c r="EV196" s="15"/>
      <c r="EW196" s="15"/>
      <c r="EX196" s="15"/>
      <c r="EY196" s="15"/>
      <c r="EZ196" s="15"/>
      <c r="FA196" s="15"/>
      <c r="FB196" s="15"/>
      <c r="FC196" s="15"/>
      <c r="FD196" s="15"/>
      <c r="FE196" s="15"/>
      <c r="FF196" s="15"/>
      <c r="FG196" s="15"/>
      <c r="FH196" s="15"/>
      <c r="FI196" s="15"/>
      <c r="FJ196" s="15"/>
      <c r="FK196" s="15"/>
      <c r="FL196" s="15"/>
      <c r="FM196" s="15"/>
      <c r="FN196" s="15"/>
      <c r="FO196" s="15"/>
    </row>
    <row r="197" spans="2:171" s="2" customFormat="1" ht="15" customHeight="1">
      <c r="B197" s="8" t="s">
        <v>167</v>
      </c>
      <c r="C197" s="2">
        <f>(16+48/60+35/3600)</f>
        <v>16.809722222222224</v>
      </c>
      <c r="D197" s="2">
        <f>-69-1.4/60</f>
        <v>-69.023333333333326</v>
      </c>
      <c r="E197" s="17">
        <f t="shared" si="13"/>
        <v>107.63271474154868</v>
      </c>
      <c r="F197" s="17">
        <f t="shared" si="29"/>
        <v>-69.067212244493618</v>
      </c>
      <c r="G197" s="17">
        <f t="shared" si="5"/>
        <v>-14.072369883828495</v>
      </c>
      <c r="H197" s="17">
        <f t="shared" si="6"/>
        <v>4.2833657197078132</v>
      </c>
      <c r="I197" s="19">
        <f t="shared" si="7"/>
        <v>107.63064086891372</v>
      </c>
      <c r="J197" s="19">
        <f t="shared" si="8"/>
        <v>-69.066391399575963</v>
      </c>
      <c r="L197" s="20"/>
      <c r="N197" s="15"/>
      <c r="O197" s="24" t="s">
        <v>162</v>
      </c>
      <c r="P197" s="15">
        <v>0</v>
      </c>
      <c r="Q197" s="15"/>
      <c r="R197" s="15"/>
      <c r="S197" s="15"/>
      <c r="T197" s="15"/>
      <c r="U197" s="15"/>
      <c r="V197" s="15"/>
      <c r="W197" s="15"/>
      <c r="X197" s="15"/>
      <c r="Y197" s="15">
        <f t="shared" si="20"/>
        <v>263.46937953358452</v>
      </c>
      <c r="Z197" s="15">
        <f t="shared" si="21"/>
        <v>96.530620466415485</v>
      </c>
      <c r="AA197" s="15">
        <f t="shared" si="22"/>
        <v>29.233136957115406</v>
      </c>
      <c r="AB197" s="15">
        <f t="shared" si="23"/>
        <v>1</v>
      </c>
      <c r="AC197" s="15">
        <f t="shared" si="14"/>
        <v>8.6892777600110396E-2</v>
      </c>
      <c r="AD197" s="15">
        <f t="shared" si="24"/>
        <v>8.6892777600110396E-2</v>
      </c>
      <c r="AE197" s="15">
        <f t="shared" si="25"/>
        <v>0.56329545349413435</v>
      </c>
      <c r="AF197" s="15">
        <f t="shared" si="26"/>
        <v>0.65018823109424473</v>
      </c>
      <c r="AG197" s="15">
        <f t="shared" si="27"/>
        <v>62.620614963927025</v>
      </c>
      <c r="AH197" s="15">
        <f t="shared" si="28"/>
        <v>62.620614963927025</v>
      </c>
      <c r="AI197" s="15">
        <f t="shared" si="15"/>
        <v>-7.9668630428845972</v>
      </c>
      <c r="AJ197" s="21">
        <f t="shared" si="16"/>
        <v>12.486520451888747</v>
      </c>
      <c r="AK197" s="21">
        <f t="shared" si="17"/>
        <v>12.486520451888747</v>
      </c>
      <c r="AL197" s="8" t="s">
        <v>162</v>
      </c>
      <c r="AM197" s="21">
        <f t="shared" si="18"/>
        <v>62.620614963927025</v>
      </c>
      <c r="AN197" s="21">
        <f t="shared" si="19"/>
        <v>12.486520451888747</v>
      </c>
      <c r="AO197" s="21"/>
      <c r="AP197" s="21"/>
      <c r="AQ197" s="21"/>
      <c r="AR197" s="21"/>
      <c r="AS197" s="15"/>
      <c r="AT197" s="21"/>
      <c r="AU197" s="22"/>
      <c r="AV197" s="21"/>
      <c r="AW197" s="15"/>
      <c r="AX197" s="21"/>
      <c r="AY197" s="15"/>
      <c r="AZ197" s="15"/>
      <c r="BA197" s="15"/>
      <c r="BB197" s="15"/>
      <c r="BC197" s="15"/>
      <c r="BD197" s="19"/>
      <c r="BF197" s="19"/>
      <c r="BH197" s="19"/>
      <c r="BI197" s="19"/>
      <c r="BJ197" s="19"/>
      <c r="BK197" s="19"/>
      <c r="BL197" s="19"/>
      <c r="BN197" s="19"/>
      <c r="BO197" s="19"/>
      <c r="BP197" s="19"/>
      <c r="BQ197" s="19"/>
      <c r="BX197" s="19"/>
      <c r="BZ197" s="19"/>
      <c r="CA197" s="19"/>
      <c r="CB197" s="19"/>
      <c r="CC197" s="19"/>
      <c r="CD197" s="19"/>
      <c r="CE197" s="19"/>
      <c r="CF197" s="19"/>
      <c r="CG197" s="19"/>
      <c r="CH197" s="19"/>
      <c r="CI197" s="19"/>
      <c r="CJ197" s="19"/>
      <c r="CL197" s="19"/>
      <c r="CM197" s="19"/>
      <c r="CN197" s="19"/>
      <c r="CO197" s="19"/>
      <c r="CP197" s="19"/>
      <c r="CR197" s="19"/>
      <c r="CS197" s="19"/>
      <c r="CT197" s="19"/>
      <c r="CU197" s="19"/>
      <c r="CV197" s="19"/>
      <c r="CW197" s="15"/>
      <c r="CX197" s="15"/>
      <c r="CY197" s="21"/>
      <c r="CZ197" s="15"/>
      <c r="DA197" s="15"/>
      <c r="DB197" s="15"/>
      <c r="DC197" s="15"/>
      <c r="DD197" s="15"/>
      <c r="DE197" s="15"/>
      <c r="DF197" s="15"/>
      <c r="DG197" s="15"/>
      <c r="DH197" s="15"/>
      <c r="DI197" s="15"/>
      <c r="DJ197" s="15"/>
      <c r="DK197" s="15"/>
      <c r="DL197" s="15"/>
      <c r="DM197" s="15"/>
      <c r="DN197" s="15"/>
      <c r="DO197" s="15"/>
      <c r="DP197" s="15"/>
      <c r="DQ197" s="10"/>
      <c r="DR197" s="10"/>
      <c r="DS197" s="10"/>
      <c r="DT197" s="10"/>
      <c r="DU197" s="10"/>
      <c r="DV197" s="10"/>
      <c r="DW197" s="10"/>
      <c r="DX197" s="10"/>
      <c r="DY197" s="10"/>
      <c r="DZ197" s="10"/>
      <c r="EA197" s="10"/>
      <c r="EB197" s="15"/>
      <c r="EC197" s="15"/>
      <c r="ED197" s="15"/>
      <c r="EE197" s="15"/>
      <c r="EF197" s="15"/>
      <c r="EG197" s="15"/>
      <c r="EH197" s="15"/>
      <c r="EI197" s="15"/>
      <c r="EJ197" s="15"/>
      <c r="EK197" s="15"/>
      <c r="EL197" s="15"/>
      <c r="EM197" s="15"/>
      <c r="EN197" s="15"/>
      <c r="EO197" s="15"/>
      <c r="EP197" s="15"/>
      <c r="EQ197" s="15"/>
      <c r="ER197" s="15"/>
      <c r="ES197" s="15"/>
      <c r="ET197" s="15"/>
      <c r="EU197" s="15"/>
      <c r="EV197" s="15"/>
      <c r="EW197" s="15"/>
      <c r="EX197" s="15"/>
      <c r="EY197" s="15"/>
      <c r="EZ197" s="15"/>
      <c r="FA197" s="15"/>
      <c r="FB197" s="15"/>
      <c r="FC197" s="15"/>
      <c r="FD197" s="15"/>
      <c r="FE197" s="15"/>
      <c r="FF197" s="15"/>
      <c r="FG197" s="15"/>
      <c r="FH197" s="15"/>
      <c r="FI197" s="15"/>
      <c r="FJ197" s="15"/>
      <c r="FK197" s="15"/>
      <c r="FL197" s="15"/>
      <c r="FM197" s="15"/>
      <c r="FN197" s="15"/>
      <c r="FO197" s="15"/>
    </row>
    <row r="198" spans="2:171" s="2" customFormat="1" ht="15" customHeight="1">
      <c r="B198" s="8" t="s">
        <v>168</v>
      </c>
      <c r="C198" s="2">
        <f>(8+22/60+33/3600)</f>
        <v>8.3758333333333344</v>
      </c>
      <c r="D198" s="2">
        <f>-59-30.5/60</f>
        <v>-59.508333333333333</v>
      </c>
      <c r="E198" s="17">
        <f t="shared" si="13"/>
        <v>234.06849919280538</v>
      </c>
      <c r="F198" s="17">
        <f t="shared" si="29"/>
        <v>-59.591721004023157</v>
      </c>
      <c r="G198" s="17">
        <f t="shared" si="5"/>
        <v>-14.072369883828495</v>
      </c>
      <c r="H198" s="17">
        <f t="shared" si="6"/>
        <v>4.2833657197078132</v>
      </c>
      <c r="I198" s="19">
        <f t="shared" si="7"/>
        <v>234.06672163149014</v>
      </c>
      <c r="J198" s="19">
        <f t="shared" si="8"/>
        <v>-59.590641660710872</v>
      </c>
      <c r="L198" s="20"/>
      <c r="N198" s="15"/>
      <c r="O198" s="24" t="s">
        <v>163</v>
      </c>
      <c r="P198" s="15">
        <v>0</v>
      </c>
      <c r="Q198" s="15"/>
      <c r="R198" s="15"/>
      <c r="S198" s="15"/>
      <c r="T198" s="15"/>
      <c r="U198" s="15"/>
      <c r="V198" s="15"/>
      <c r="W198" s="15"/>
      <c r="X198" s="15"/>
      <c r="Y198" s="15">
        <f t="shared" si="20"/>
        <v>327.86563894570679</v>
      </c>
      <c r="Z198" s="15">
        <f t="shared" si="21"/>
        <v>32.134361054293208</v>
      </c>
      <c r="AA198" s="15">
        <f t="shared" si="22"/>
        <v>8.9345137585374843</v>
      </c>
      <c r="AB198" s="15">
        <f t="shared" si="23"/>
        <v>0</v>
      </c>
      <c r="AC198" s="15">
        <f t="shared" si="14"/>
        <v>1.208405059835882</v>
      </c>
      <c r="AD198" s="15">
        <f t="shared" si="24"/>
        <v>-1.208405059835882</v>
      </c>
      <c r="AE198" s="15">
        <f t="shared" si="25"/>
        <v>0.29556515186078564</v>
      </c>
      <c r="AF198" s="15">
        <f t="shared" si="26"/>
        <v>-0.9128399079750964</v>
      </c>
      <c r="AG198" s="15">
        <f t="shared" si="27"/>
        <v>53.97893896449866</v>
      </c>
      <c r="AH198" s="15">
        <f t="shared" si="28"/>
        <v>126.02106103550133</v>
      </c>
      <c r="AI198" s="15">
        <f t="shared" si="15"/>
        <v>-28.265486241462519</v>
      </c>
      <c r="AJ198" s="21">
        <f t="shared" si="16"/>
        <v>49.483371420856486</v>
      </c>
      <c r="AK198" s="21">
        <f t="shared" si="17"/>
        <v>49.483371420856486</v>
      </c>
      <c r="AL198" s="8" t="s">
        <v>163</v>
      </c>
      <c r="AM198" s="21">
        <f t="shared" si="18"/>
        <v>126.02106103550133</v>
      </c>
      <c r="AN198" s="21">
        <f t="shared" si="19"/>
        <v>49.483371420856486</v>
      </c>
      <c r="AO198" s="21"/>
      <c r="AP198" s="21"/>
      <c r="AQ198" s="21"/>
      <c r="AR198" s="21"/>
      <c r="AS198" s="15"/>
      <c r="AT198" s="21"/>
      <c r="AU198" s="22"/>
      <c r="AV198" s="21"/>
      <c r="AW198" s="15"/>
      <c r="AX198" s="21"/>
      <c r="AY198" s="15"/>
      <c r="AZ198" s="15"/>
      <c r="BA198" s="15"/>
      <c r="BB198" s="15"/>
      <c r="BC198" s="15"/>
      <c r="BD198" s="19"/>
      <c r="BF198" s="19"/>
      <c r="BH198" s="19"/>
      <c r="BI198" s="19"/>
      <c r="BJ198" s="19"/>
      <c r="BK198" s="19"/>
      <c r="BL198" s="19"/>
      <c r="BN198" s="19"/>
      <c r="BO198" s="19"/>
      <c r="BP198" s="19"/>
      <c r="BQ198" s="19"/>
      <c r="BX198" s="19"/>
      <c r="BZ198" s="19"/>
      <c r="CA198" s="19"/>
      <c r="CB198" s="19"/>
      <c r="CC198" s="19"/>
      <c r="CD198" s="19"/>
      <c r="CE198" s="19"/>
      <c r="CF198" s="19"/>
      <c r="CG198" s="19"/>
      <c r="CH198" s="19"/>
      <c r="CI198" s="19"/>
      <c r="CJ198" s="19"/>
      <c r="CL198" s="19"/>
      <c r="CM198" s="19"/>
      <c r="CN198" s="19"/>
      <c r="CO198" s="19"/>
      <c r="CP198" s="19"/>
      <c r="CR198" s="19"/>
      <c r="CS198" s="19"/>
      <c r="CT198" s="19"/>
      <c r="CU198" s="19"/>
      <c r="CV198" s="19"/>
      <c r="CW198" s="15"/>
      <c r="CX198" s="15"/>
      <c r="CY198" s="21"/>
      <c r="CZ198" s="15"/>
      <c r="DA198" s="15"/>
      <c r="DB198" s="15"/>
      <c r="DC198" s="15"/>
      <c r="DD198" s="15"/>
      <c r="DE198" s="15"/>
      <c r="DF198" s="15"/>
      <c r="DG198" s="15"/>
      <c r="DH198" s="15"/>
      <c r="DI198" s="15"/>
      <c r="DJ198" s="15"/>
      <c r="DK198" s="15"/>
      <c r="DL198" s="15"/>
      <c r="DM198" s="15"/>
      <c r="DN198" s="15"/>
      <c r="DO198" s="15"/>
      <c r="DP198" s="15"/>
      <c r="DQ198" s="10"/>
      <c r="DR198" s="10"/>
      <c r="DS198" s="10"/>
      <c r="DT198" s="10"/>
      <c r="DU198" s="10"/>
      <c r="DV198" s="10"/>
      <c r="DW198" s="10"/>
      <c r="DX198" s="10"/>
      <c r="DY198" s="10"/>
      <c r="DZ198" s="10"/>
      <c r="EA198" s="10"/>
      <c r="EB198" s="15"/>
      <c r="EC198" s="15"/>
      <c r="ED198" s="15"/>
      <c r="EE198" s="15"/>
      <c r="EF198" s="15"/>
      <c r="EG198" s="15"/>
      <c r="EH198" s="15"/>
      <c r="EI198" s="15"/>
      <c r="EJ198" s="15"/>
      <c r="EK198" s="15"/>
      <c r="EL198" s="15"/>
      <c r="EM198" s="15"/>
      <c r="EN198" s="15"/>
      <c r="EO198" s="15"/>
      <c r="EP198" s="15"/>
      <c r="EQ198" s="15"/>
      <c r="ER198" s="15"/>
      <c r="ES198" s="15"/>
      <c r="ET198" s="15"/>
      <c r="EU198" s="15"/>
      <c r="EV198" s="15"/>
      <c r="EW198" s="15"/>
      <c r="EX198" s="15"/>
      <c r="EY198" s="15"/>
      <c r="EZ198" s="15"/>
      <c r="FA198" s="15"/>
      <c r="FB198" s="15"/>
      <c r="FC198" s="15"/>
      <c r="FD198" s="15"/>
      <c r="FE198" s="15"/>
      <c r="FF198" s="15"/>
      <c r="FG198" s="15"/>
      <c r="FH198" s="15"/>
      <c r="FI198" s="15"/>
      <c r="FJ198" s="15"/>
      <c r="FK198" s="15"/>
      <c r="FL198" s="15"/>
      <c r="FM198" s="15"/>
      <c r="FN198" s="15"/>
      <c r="FO198" s="15"/>
    </row>
    <row r="199" spans="2:171" s="2" customFormat="1" ht="15" customHeight="1">
      <c r="B199" s="8" t="s">
        <v>169</v>
      </c>
      <c r="C199" s="2">
        <f>(5+25/60+8/3600)</f>
        <v>5.4188888888888895</v>
      </c>
      <c r="D199" s="2">
        <f>6+20.9/60</f>
        <v>6.3483333333333336</v>
      </c>
      <c r="E199" s="17">
        <f t="shared" si="13"/>
        <v>278.38575889682187</v>
      </c>
      <c r="F199" s="17">
        <f t="shared" si="29"/>
        <v>6.3700224356683011</v>
      </c>
      <c r="G199" s="17">
        <f t="shared" si="5"/>
        <v>-14.072369883828495</v>
      </c>
      <c r="H199" s="17">
        <f t="shared" si="6"/>
        <v>4.2833657197078132</v>
      </c>
      <c r="I199" s="19">
        <f t="shared" si="7"/>
        <v>278.38574928454602</v>
      </c>
      <c r="J199" s="19">
        <f t="shared" si="8"/>
        <v>6.3698991412684247</v>
      </c>
      <c r="L199" s="20"/>
      <c r="N199" s="15"/>
      <c r="O199" s="24" t="s">
        <v>164</v>
      </c>
      <c r="P199" s="15">
        <v>0</v>
      </c>
      <c r="Q199" s="15"/>
      <c r="R199" s="15"/>
      <c r="S199" s="15"/>
      <c r="T199" s="15"/>
      <c r="U199" s="15"/>
      <c r="V199" s="15"/>
      <c r="W199" s="15"/>
      <c r="X199" s="15"/>
      <c r="Y199" s="15">
        <f t="shared" si="20"/>
        <v>258.99749984203368</v>
      </c>
      <c r="Z199" s="15">
        <f t="shared" si="21"/>
        <v>101.00250015796632</v>
      </c>
      <c r="AA199" s="15">
        <f t="shared" si="22"/>
        <v>-42.171024580814212</v>
      </c>
      <c r="AB199" s="15">
        <f t="shared" si="23"/>
        <v>1</v>
      </c>
      <c r="AC199" s="15">
        <f t="shared" si="14"/>
        <v>0.14757705834247065</v>
      </c>
      <c r="AD199" s="15">
        <f t="shared" si="24"/>
        <v>0.14757705834247065</v>
      </c>
      <c r="AE199" s="15">
        <f t="shared" si="25"/>
        <v>-0.92278539344424748</v>
      </c>
      <c r="AF199" s="15">
        <f t="shared" si="26"/>
        <v>-0.77520833510177689</v>
      </c>
      <c r="AG199" s="15">
        <f t="shared" si="27"/>
        <v>58.30563916124656</v>
      </c>
      <c r="AH199" s="15">
        <f t="shared" si="28"/>
        <v>121.69436083875344</v>
      </c>
      <c r="AI199" s="15">
        <f t="shared" si="15"/>
        <v>-79.371024580814208</v>
      </c>
      <c r="AJ199" s="21">
        <f t="shared" si="16"/>
        <v>-31.235927028429767</v>
      </c>
      <c r="AK199" s="21">
        <f t="shared" si="17"/>
        <v>-31.235927028429767</v>
      </c>
      <c r="AL199" s="8" t="s">
        <v>164</v>
      </c>
      <c r="AM199" s="21">
        <f t="shared" si="18"/>
        <v>121.69436083875344</v>
      </c>
      <c r="AN199" s="21">
        <f t="shared" si="19"/>
        <v>-31.235927028429767</v>
      </c>
      <c r="AO199" s="21"/>
      <c r="AP199" s="21"/>
      <c r="AQ199" s="21"/>
      <c r="AR199" s="21"/>
      <c r="AS199" s="15"/>
      <c r="AT199" s="21"/>
      <c r="AU199" s="22"/>
      <c r="AV199" s="21"/>
      <c r="AW199" s="15"/>
      <c r="AX199" s="21"/>
      <c r="AY199" s="15"/>
      <c r="AZ199" s="15"/>
      <c r="BA199" s="15"/>
      <c r="BB199" s="15"/>
      <c r="BC199" s="15"/>
      <c r="BD199" s="19"/>
      <c r="BF199" s="19"/>
      <c r="BH199" s="19"/>
      <c r="BI199" s="19"/>
      <c r="BJ199" s="19"/>
      <c r="BK199" s="19"/>
      <c r="BL199" s="19"/>
      <c r="BN199" s="19"/>
      <c r="BO199" s="19"/>
      <c r="BP199" s="19"/>
      <c r="BQ199" s="19"/>
      <c r="BX199" s="19"/>
      <c r="BZ199" s="19"/>
      <c r="CA199" s="19"/>
      <c r="CB199" s="19"/>
      <c r="CC199" s="19"/>
      <c r="CD199" s="19"/>
      <c r="CE199" s="19"/>
      <c r="CF199" s="19"/>
      <c r="CG199" s="19"/>
      <c r="CH199" s="19"/>
      <c r="CI199" s="19"/>
      <c r="CJ199" s="19"/>
      <c r="CL199" s="19"/>
      <c r="CM199" s="19"/>
      <c r="CN199" s="19"/>
      <c r="CO199" s="19"/>
      <c r="CP199" s="19"/>
      <c r="CR199" s="19"/>
      <c r="CS199" s="19"/>
      <c r="CT199" s="19"/>
      <c r="CU199" s="19"/>
      <c r="CV199" s="19"/>
      <c r="CW199" s="15"/>
      <c r="CX199" s="15"/>
      <c r="CY199" s="21"/>
      <c r="CZ199" s="15"/>
      <c r="DA199" s="15"/>
      <c r="DB199" s="15"/>
      <c r="DC199" s="15"/>
      <c r="DD199" s="15"/>
      <c r="DE199" s="15"/>
      <c r="DF199" s="15"/>
      <c r="DG199" s="15"/>
      <c r="DH199" s="15"/>
      <c r="DI199" s="15"/>
      <c r="DJ199" s="15"/>
      <c r="DK199" s="15"/>
      <c r="DL199" s="15"/>
      <c r="DM199" s="15"/>
      <c r="DN199" s="15"/>
      <c r="DO199" s="15"/>
      <c r="DP199" s="15"/>
      <c r="DQ199" s="10"/>
      <c r="DR199" s="10"/>
      <c r="DS199" s="10"/>
      <c r="DT199" s="10"/>
      <c r="DU199" s="10"/>
      <c r="DV199" s="10"/>
      <c r="DW199" s="10"/>
      <c r="DX199" s="10"/>
      <c r="DY199" s="10"/>
      <c r="DZ199" s="10"/>
      <c r="EA199" s="10"/>
      <c r="EB199" s="15"/>
      <c r="EC199" s="15"/>
      <c r="ED199" s="15"/>
      <c r="EE199" s="15"/>
      <c r="EF199" s="15"/>
      <c r="EG199" s="15"/>
      <c r="EH199" s="15"/>
      <c r="EI199" s="15"/>
      <c r="EJ199" s="15"/>
      <c r="EK199" s="15"/>
      <c r="EL199" s="15"/>
      <c r="EM199" s="15"/>
      <c r="EN199" s="15"/>
      <c r="EO199" s="15"/>
      <c r="EP199" s="15"/>
      <c r="EQ199" s="15"/>
      <c r="ER199" s="15"/>
      <c r="ES199" s="15"/>
      <c r="ET199" s="15"/>
      <c r="EU199" s="15"/>
      <c r="EV199" s="15"/>
      <c r="EW199" s="15"/>
      <c r="EX199" s="15"/>
      <c r="EY199" s="15"/>
      <c r="EZ199" s="15"/>
      <c r="FA199" s="15"/>
      <c r="FB199" s="15"/>
      <c r="FC199" s="15"/>
      <c r="FD199" s="15"/>
      <c r="FE199" s="15"/>
      <c r="FF199" s="15"/>
      <c r="FG199" s="15"/>
      <c r="FH199" s="15"/>
      <c r="FI199" s="15"/>
      <c r="FJ199" s="15"/>
      <c r="FK199" s="15"/>
      <c r="FL199" s="15"/>
      <c r="FM199" s="15"/>
      <c r="FN199" s="15"/>
      <c r="FO199" s="15"/>
    </row>
    <row r="200" spans="2:171" s="2" customFormat="1" ht="15" customHeight="1">
      <c r="B200" s="8" t="s">
        <v>170</v>
      </c>
      <c r="C200" s="2">
        <f>(5+55/60+11/3600)</f>
        <v>5.9197222222222221</v>
      </c>
      <c r="D200" s="2">
        <f>7+24.3/60</f>
        <v>7.4050000000000002</v>
      </c>
      <c r="E200" s="17">
        <f t="shared" si="13"/>
        <v>270.87284421491461</v>
      </c>
      <c r="F200" s="17">
        <f t="shared" si="29"/>
        <v>7.4080076157324104</v>
      </c>
      <c r="G200" s="17">
        <f t="shared" si="5"/>
        <v>-14.072369883828495</v>
      </c>
      <c r="H200" s="17">
        <f t="shared" si="6"/>
        <v>4.2833657197078132</v>
      </c>
      <c r="I200" s="19">
        <f t="shared" si="7"/>
        <v>270.87278473424777</v>
      </c>
      <c r="J200" s="19">
        <f t="shared" si="8"/>
        <v>7.4080976496668578</v>
      </c>
      <c r="L200" s="20"/>
      <c r="N200" s="15"/>
      <c r="O200" s="24" t="s">
        <v>165</v>
      </c>
      <c r="P200" s="15">
        <v>0</v>
      </c>
      <c r="Q200" s="15"/>
      <c r="R200" s="15"/>
      <c r="S200" s="15"/>
      <c r="T200" s="15"/>
      <c r="U200" s="15"/>
      <c r="V200" s="15"/>
      <c r="W200" s="15"/>
      <c r="X200" s="15"/>
      <c r="Y200" s="15">
        <f t="shared" si="20"/>
        <v>18.241533798824094</v>
      </c>
      <c r="Z200" s="15">
        <f t="shared" si="21"/>
        <v>18.241533798824094</v>
      </c>
      <c r="AA200" s="15">
        <f t="shared" si="22"/>
        <v>-26.482530150066832</v>
      </c>
      <c r="AB200" s="15">
        <f t="shared" si="23"/>
        <v>0</v>
      </c>
      <c r="AC200" s="15">
        <f t="shared" si="14"/>
        <v>2.3030093616725309</v>
      </c>
      <c r="AD200" s="15">
        <f t="shared" si="24"/>
        <v>-2.3030093616725309</v>
      </c>
      <c r="AE200" s="15">
        <f t="shared" si="25"/>
        <v>-1.5915770170321013</v>
      </c>
      <c r="AF200" s="15">
        <f t="shared" si="26"/>
        <v>-3.8945863787046324</v>
      </c>
      <c r="AG200" s="15">
        <f t="shared" si="27"/>
        <v>17.867068882040943</v>
      </c>
      <c r="AH200" s="15">
        <f t="shared" si="28"/>
        <v>197.86706888204094</v>
      </c>
      <c r="AI200" s="15">
        <f t="shared" si="15"/>
        <v>-63.682530150066839</v>
      </c>
      <c r="AJ200" s="21">
        <f t="shared" si="16"/>
        <v>24.04885602462911</v>
      </c>
      <c r="AK200" s="21">
        <f t="shared" si="17"/>
        <v>24.04885602462911</v>
      </c>
      <c r="AL200" s="8" t="s">
        <v>165</v>
      </c>
      <c r="AM200" s="21">
        <f t="shared" si="18"/>
        <v>197.86706888204094</v>
      </c>
      <c r="AN200" s="21">
        <f t="shared" si="19"/>
        <v>24.04885602462911</v>
      </c>
      <c r="AO200" s="21"/>
      <c r="AP200" s="21"/>
      <c r="AQ200" s="21"/>
      <c r="AR200" s="21"/>
      <c r="AS200" s="15"/>
      <c r="AT200" s="21"/>
      <c r="AU200" s="22"/>
      <c r="AV200" s="21"/>
      <c r="AW200" s="15"/>
      <c r="AX200" s="21"/>
      <c r="AY200" s="15"/>
      <c r="AZ200" s="15"/>
      <c r="BA200" s="15"/>
      <c r="BB200" s="15"/>
      <c r="BC200" s="15"/>
      <c r="BD200" s="19"/>
      <c r="BF200" s="19"/>
      <c r="BH200" s="19"/>
      <c r="BI200" s="19"/>
      <c r="BJ200" s="19"/>
      <c r="BK200" s="19"/>
      <c r="BL200" s="19"/>
      <c r="BN200" s="19"/>
      <c r="BO200" s="19"/>
      <c r="BP200" s="19"/>
      <c r="BQ200" s="19"/>
      <c r="BX200" s="19"/>
      <c r="BZ200" s="19"/>
      <c r="CA200" s="19"/>
      <c r="CB200" s="19"/>
      <c r="CC200" s="19"/>
      <c r="CD200" s="19"/>
      <c r="CE200" s="19"/>
      <c r="CF200" s="19"/>
      <c r="CG200" s="19"/>
      <c r="CH200" s="19"/>
      <c r="CI200" s="19"/>
      <c r="CJ200" s="19"/>
      <c r="CL200" s="19"/>
      <c r="CM200" s="19"/>
      <c r="CN200" s="19"/>
      <c r="CO200" s="19"/>
      <c r="CP200" s="19"/>
      <c r="CR200" s="19"/>
      <c r="CS200" s="19"/>
      <c r="CT200" s="19"/>
      <c r="CU200" s="19"/>
      <c r="CV200" s="19"/>
      <c r="CW200" s="15"/>
      <c r="CX200" s="15"/>
      <c r="CY200" s="21"/>
      <c r="CZ200" s="15"/>
      <c r="DA200" s="15"/>
      <c r="DB200" s="15"/>
      <c r="DC200" s="15"/>
      <c r="DD200" s="15"/>
      <c r="DE200" s="15"/>
      <c r="DF200" s="15"/>
      <c r="DG200" s="15"/>
      <c r="DH200" s="15"/>
      <c r="DI200" s="15"/>
      <c r="DJ200" s="15"/>
      <c r="DK200" s="15"/>
      <c r="DL200" s="15"/>
      <c r="DM200" s="15"/>
      <c r="DN200" s="15"/>
      <c r="DO200" s="15"/>
      <c r="DP200" s="15"/>
      <c r="DQ200" s="10"/>
      <c r="DR200" s="10"/>
      <c r="DS200" s="10"/>
      <c r="DT200" s="10"/>
      <c r="DU200" s="10"/>
      <c r="DV200" s="10"/>
      <c r="DW200" s="10"/>
      <c r="DX200" s="10"/>
      <c r="DY200" s="10"/>
      <c r="DZ200" s="10"/>
      <c r="EA200" s="10"/>
      <c r="EB200" s="15"/>
      <c r="EC200" s="15"/>
      <c r="ED200" s="15"/>
      <c r="EE200" s="15"/>
      <c r="EF200" s="15"/>
      <c r="EG200" s="15"/>
      <c r="EH200" s="15"/>
      <c r="EI200" s="15"/>
      <c r="EJ200" s="15"/>
      <c r="EK200" s="15"/>
      <c r="EL200" s="15"/>
      <c r="EM200" s="15"/>
      <c r="EN200" s="15"/>
      <c r="EO200" s="15"/>
      <c r="EP200" s="15"/>
      <c r="EQ200" s="15"/>
      <c r="ER200" s="15"/>
      <c r="ES200" s="15"/>
      <c r="ET200" s="15"/>
      <c r="EU200" s="15"/>
      <c r="EV200" s="15"/>
      <c r="EW200" s="15"/>
      <c r="EX200" s="15"/>
      <c r="EY200" s="15"/>
      <c r="EZ200" s="15"/>
      <c r="FA200" s="15"/>
      <c r="FB200" s="15"/>
      <c r="FC200" s="15"/>
      <c r="FD200" s="15"/>
      <c r="FE200" s="15"/>
      <c r="FF200" s="15"/>
      <c r="FG200" s="15"/>
      <c r="FH200" s="15"/>
      <c r="FI200" s="15"/>
      <c r="FJ200" s="15"/>
      <c r="FK200" s="15"/>
      <c r="FL200" s="15"/>
      <c r="FM200" s="15"/>
      <c r="FN200" s="15"/>
      <c r="FO200" s="15"/>
    </row>
    <row r="201" spans="2:171" s="2" customFormat="1" ht="15" customHeight="1">
      <c r="B201" s="8" t="s">
        <v>171</v>
      </c>
      <c r="C201" s="2">
        <f>(6+23/60+59/3600)</f>
        <v>6.3997222222222225</v>
      </c>
      <c r="D201" s="2">
        <f>-52-41.9/60</f>
        <v>-52.698333333333331</v>
      </c>
      <c r="E201" s="17">
        <f t="shared" si="13"/>
        <v>263.69570178230657</v>
      </c>
      <c r="F201" s="17">
        <f t="shared" si="29"/>
        <v>-52.713282752575104</v>
      </c>
      <c r="G201" s="17">
        <f t="shared" si="5"/>
        <v>-14.072369883828495</v>
      </c>
      <c r="H201" s="17">
        <f t="shared" si="6"/>
        <v>4.2833657197078132</v>
      </c>
      <c r="I201" s="19">
        <f t="shared" si="7"/>
        <v>263.69705144675544</v>
      </c>
      <c r="J201" s="19">
        <f t="shared" si="8"/>
        <v>-52.712987700947934</v>
      </c>
      <c r="L201" s="20"/>
      <c r="N201" s="15"/>
      <c r="O201" s="24" t="s">
        <v>166</v>
      </c>
      <c r="P201" s="15">
        <v>0</v>
      </c>
      <c r="Q201" s="15"/>
      <c r="R201" s="15"/>
      <c r="S201" s="15"/>
      <c r="T201" s="15"/>
      <c r="U201" s="15"/>
      <c r="V201" s="15"/>
      <c r="W201" s="15"/>
      <c r="X201" s="15"/>
      <c r="Y201" s="15">
        <f t="shared" si="20"/>
        <v>51.636010935738113</v>
      </c>
      <c r="Z201" s="15">
        <f t="shared" si="21"/>
        <v>51.636010935738113</v>
      </c>
      <c r="AA201" s="15">
        <f t="shared" si="22"/>
        <v>19.069479029011433</v>
      </c>
      <c r="AB201" s="15">
        <f t="shared" si="23"/>
        <v>0</v>
      </c>
      <c r="AC201" s="15">
        <f t="shared" si="14"/>
        <v>0.60083236190848655</v>
      </c>
      <c r="AD201" s="15">
        <f t="shared" si="24"/>
        <v>-0.60083236190848655</v>
      </c>
      <c r="AE201" s="15">
        <f t="shared" si="25"/>
        <v>0.44087715464061794</v>
      </c>
      <c r="AF201" s="15">
        <f t="shared" si="26"/>
        <v>-0.1599552072678686</v>
      </c>
      <c r="AG201" s="15">
        <f t="shared" si="27"/>
        <v>82.739116028022181</v>
      </c>
      <c r="AH201" s="15">
        <f t="shared" si="28"/>
        <v>262.73911602802218</v>
      </c>
      <c r="AI201" s="15">
        <f t="shared" si="15"/>
        <v>-18.13052097098857</v>
      </c>
      <c r="AJ201" s="21">
        <f t="shared" si="16"/>
        <v>41.664845745818191</v>
      </c>
      <c r="AK201" s="21">
        <f t="shared" si="17"/>
        <v>41.664845745818191</v>
      </c>
      <c r="AL201" s="8" t="s">
        <v>166</v>
      </c>
      <c r="AM201" s="21">
        <f t="shared" si="18"/>
        <v>262.73911602802218</v>
      </c>
      <c r="AN201" s="21">
        <f t="shared" si="19"/>
        <v>41.664845745818191</v>
      </c>
      <c r="AO201" s="21"/>
      <c r="AP201" s="21"/>
      <c r="AQ201" s="21"/>
      <c r="AR201" s="21"/>
      <c r="AS201" s="15"/>
      <c r="AT201" s="21"/>
      <c r="AU201" s="22"/>
      <c r="AV201" s="21"/>
      <c r="AW201" s="15"/>
      <c r="AX201" s="21"/>
      <c r="AY201" s="15"/>
      <c r="AZ201" s="15"/>
      <c r="BA201" s="15"/>
      <c r="BB201" s="15"/>
      <c r="BC201" s="15"/>
      <c r="BD201" s="19"/>
      <c r="BF201" s="19"/>
      <c r="BH201" s="19"/>
      <c r="BI201" s="19"/>
      <c r="BJ201" s="19"/>
      <c r="BK201" s="19"/>
      <c r="BL201" s="19"/>
      <c r="BN201" s="19"/>
      <c r="BO201" s="19"/>
      <c r="BP201" s="19"/>
      <c r="BQ201" s="19"/>
      <c r="BX201" s="19"/>
      <c r="BZ201" s="19"/>
      <c r="CA201" s="19"/>
      <c r="CB201" s="19"/>
      <c r="CC201" s="19"/>
      <c r="CD201" s="19"/>
      <c r="CE201" s="19"/>
      <c r="CF201" s="19"/>
      <c r="CG201" s="19"/>
      <c r="CH201" s="19"/>
      <c r="CI201" s="19"/>
      <c r="CJ201" s="19"/>
      <c r="CL201" s="19"/>
      <c r="CM201" s="19"/>
      <c r="CN201" s="19"/>
      <c r="CO201" s="19"/>
      <c r="CP201" s="19"/>
      <c r="CR201" s="19"/>
      <c r="CS201" s="19"/>
      <c r="CT201" s="19"/>
      <c r="CU201" s="19"/>
      <c r="CV201" s="19"/>
      <c r="CW201" s="15"/>
      <c r="CX201" s="15"/>
      <c r="CY201" s="21"/>
      <c r="CZ201" s="15"/>
      <c r="DA201" s="15"/>
      <c r="DB201" s="15"/>
      <c r="DC201" s="15"/>
      <c r="DD201" s="15"/>
      <c r="DE201" s="15"/>
      <c r="DF201" s="15"/>
      <c r="DG201" s="15"/>
      <c r="DH201" s="15"/>
      <c r="DI201" s="15"/>
      <c r="DJ201" s="15"/>
      <c r="DK201" s="15"/>
      <c r="DL201" s="15"/>
      <c r="DM201" s="15"/>
      <c r="DN201" s="15"/>
      <c r="DO201" s="15"/>
      <c r="DP201" s="15"/>
      <c r="DQ201" s="10"/>
      <c r="DR201" s="10"/>
      <c r="DS201" s="10"/>
      <c r="DT201" s="10"/>
      <c r="DU201" s="10"/>
      <c r="DV201" s="10"/>
      <c r="DW201" s="10"/>
      <c r="DX201" s="10"/>
      <c r="DY201" s="10"/>
      <c r="DZ201" s="10"/>
      <c r="EA201" s="10"/>
      <c r="EB201" s="15"/>
      <c r="EC201" s="15"/>
      <c r="ED201" s="15"/>
      <c r="EE201" s="15"/>
      <c r="EF201" s="15"/>
      <c r="EG201" s="15"/>
      <c r="EH201" s="15"/>
      <c r="EI201" s="15"/>
      <c r="EJ201" s="15"/>
      <c r="EK201" s="15"/>
      <c r="EL201" s="15"/>
      <c r="EM201" s="15"/>
      <c r="EN201" s="15"/>
      <c r="EO201" s="15"/>
      <c r="EP201" s="15"/>
      <c r="EQ201" s="15"/>
      <c r="ER201" s="15"/>
      <c r="ES201" s="15"/>
      <c r="ET201" s="15"/>
      <c r="EU201" s="15"/>
      <c r="EV201" s="15"/>
      <c r="EW201" s="15"/>
      <c r="EX201" s="15"/>
      <c r="EY201" s="15"/>
      <c r="EZ201" s="15"/>
      <c r="FA201" s="15"/>
      <c r="FB201" s="15"/>
      <c r="FC201" s="15"/>
      <c r="FD201" s="15"/>
      <c r="FE201" s="15"/>
      <c r="FF201" s="15"/>
      <c r="FG201" s="15"/>
      <c r="FH201" s="15"/>
      <c r="FI201" s="15"/>
      <c r="FJ201" s="15"/>
      <c r="FK201" s="15"/>
      <c r="FL201" s="15"/>
      <c r="FM201" s="15"/>
      <c r="FN201" s="15"/>
      <c r="FO201" s="15"/>
    </row>
    <row r="202" spans="2:171" s="2" customFormat="1" ht="15" customHeight="1">
      <c r="B202" s="8" t="s">
        <v>172</v>
      </c>
      <c r="C202" s="2">
        <f>(5+16/60+42/3600)</f>
        <v>5.2783333333333333</v>
      </c>
      <c r="D202" s="2">
        <f>45+59.9/60</f>
        <v>45.998333333333335</v>
      </c>
      <c r="E202" s="17">
        <f t="shared" si="13"/>
        <v>280.48196301104662</v>
      </c>
      <c r="F202" s="17">
        <f t="shared" si="29"/>
        <v>46.025212068821787</v>
      </c>
      <c r="G202" s="17">
        <f t="shared" si="5"/>
        <v>-14.072369883828495</v>
      </c>
      <c r="H202" s="17">
        <f t="shared" si="6"/>
        <v>4.2833657197078132</v>
      </c>
      <c r="I202" s="19">
        <f t="shared" si="7"/>
        <v>280.48044668455071</v>
      </c>
      <c r="J202" s="19">
        <f t="shared" si="8"/>
        <v>46.025029481716821</v>
      </c>
      <c r="L202" s="20"/>
      <c r="N202" s="15"/>
      <c r="O202" s="24" t="s">
        <v>167</v>
      </c>
      <c r="P202" s="15">
        <v>0</v>
      </c>
      <c r="Q202" s="15"/>
      <c r="R202" s="15"/>
      <c r="S202" s="15"/>
      <c r="T202" s="15"/>
      <c r="U202" s="15"/>
      <c r="V202" s="15"/>
      <c r="W202" s="15"/>
      <c r="X202" s="15"/>
      <c r="Y202" s="15">
        <f t="shared" si="20"/>
        <v>13.52172328236361</v>
      </c>
      <c r="Z202" s="15">
        <f t="shared" si="21"/>
        <v>13.52172328236361</v>
      </c>
      <c r="AA202" s="15">
        <f t="shared" si="22"/>
        <v>-69.066391399575963</v>
      </c>
      <c r="AB202" s="15">
        <f t="shared" si="23"/>
        <v>0</v>
      </c>
      <c r="AC202" s="15">
        <f t="shared" si="14"/>
        <v>3.156362157261007</v>
      </c>
      <c r="AD202" s="15">
        <f t="shared" si="24"/>
        <v>-3.156362157261007</v>
      </c>
      <c r="AE202" s="15">
        <f t="shared" si="25"/>
        <v>-11.180420384970079</v>
      </c>
      <c r="AF202" s="15">
        <f t="shared" si="26"/>
        <v>-14.336782542231086</v>
      </c>
      <c r="AG202" s="15">
        <f t="shared" si="27"/>
        <v>5.00452000978781</v>
      </c>
      <c r="AH202" s="15">
        <f t="shared" si="28"/>
        <v>185.0045200097878</v>
      </c>
      <c r="AI202" s="15">
        <f t="shared" si="15"/>
        <v>-106.26639139957597</v>
      </c>
      <c r="AJ202" s="21">
        <f t="shared" si="16"/>
        <v>-16.73778294494274</v>
      </c>
      <c r="AK202" s="21">
        <f t="shared" si="17"/>
        <v>-16.73778294494274</v>
      </c>
      <c r="AL202" s="8" t="s">
        <v>167</v>
      </c>
      <c r="AM202" s="21">
        <f t="shared" si="18"/>
        <v>185.0045200097878</v>
      </c>
      <c r="AN202" s="21">
        <f t="shared" si="19"/>
        <v>-16.73778294494274</v>
      </c>
      <c r="AO202" s="21"/>
      <c r="AP202" s="21"/>
      <c r="AQ202" s="21"/>
      <c r="AR202" s="21"/>
      <c r="AS202" s="15"/>
      <c r="AT202" s="21"/>
      <c r="AU202" s="22"/>
      <c r="AV202" s="21"/>
      <c r="AW202" s="15"/>
      <c r="AX202" s="21"/>
      <c r="AY202" s="15"/>
      <c r="AZ202" s="15"/>
      <c r="BA202" s="15"/>
      <c r="BB202" s="15"/>
      <c r="BC202" s="15"/>
      <c r="BD202" s="19"/>
      <c r="BF202" s="19"/>
      <c r="BH202" s="19"/>
      <c r="BI202" s="19"/>
      <c r="BJ202" s="19"/>
      <c r="BK202" s="19"/>
      <c r="BL202" s="19"/>
      <c r="BN202" s="19"/>
      <c r="BO202" s="19"/>
      <c r="BP202" s="19"/>
      <c r="BQ202" s="19"/>
      <c r="BX202" s="19"/>
      <c r="BZ202" s="19"/>
      <c r="CA202" s="19"/>
      <c r="CB202" s="19"/>
      <c r="CC202" s="19"/>
      <c r="CD202" s="19"/>
      <c r="CE202" s="19"/>
      <c r="CF202" s="19"/>
      <c r="CG202" s="19"/>
      <c r="CH202" s="19"/>
      <c r="CI202" s="19"/>
      <c r="CJ202" s="19"/>
      <c r="CL202" s="19"/>
      <c r="CM202" s="19"/>
      <c r="CN202" s="19"/>
      <c r="CO202" s="19"/>
      <c r="CP202" s="19"/>
      <c r="CR202" s="19"/>
      <c r="CS202" s="19"/>
      <c r="CT202" s="19"/>
      <c r="CU202" s="19"/>
      <c r="CV202" s="19"/>
      <c r="CW202" s="15"/>
      <c r="CX202" s="15"/>
      <c r="CY202" s="21"/>
      <c r="CZ202" s="15"/>
      <c r="DA202" s="15"/>
      <c r="DB202" s="15"/>
      <c r="DC202" s="15"/>
      <c r="DD202" s="15"/>
      <c r="DE202" s="15"/>
      <c r="DF202" s="15"/>
      <c r="DG202" s="15"/>
      <c r="DH202" s="15"/>
      <c r="DI202" s="15"/>
      <c r="DJ202" s="15"/>
      <c r="DK202" s="15"/>
      <c r="DL202" s="15"/>
      <c r="DM202" s="15"/>
      <c r="DN202" s="15"/>
      <c r="DO202" s="15"/>
      <c r="DP202" s="15"/>
      <c r="DQ202" s="10"/>
      <c r="DR202" s="10"/>
      <c r="DS202" s="10"/>
      <c r="DT202" s="10"/>
      <c r="DU202" s="10"/>
      <c r="DV202" s="10"/>
      <c r="DW202" s="10"/>
      <c r="DX202" s="10"/>
      <c r="DY202" s="10"/>
      <c r="DZ202" s="10"/>
      <c r="EA202" s="10"/>
      <c r="EB202" s="15"/>
      <c r="EC202" s="15"/>
      <c r="ED202" s="15"/>
      <c r="EE202" s="15"/>
      <c r="EF202" s="15"/>
      <c r="EG202" s="15"/>
      <c r="EH202" s="15"/>
      <c r="EI202" s="15"/>
      <c r="EJ202" s="15"/>
      <c r="EK202" s="15"/>
      <c r="EL202" s="15"/>
      <c r="EM202" s="15"/>
      <c r="EN202" s="15"/>
      <c r="EO202" s="15"/>
      <c r="EP202" s="15"/>
      <c r="EQ202" s="15"/>
      <c r="ER202" s="15"/>
      <c r="ES202" s="15"/>
      <c r="ET202" s="15"/>
      <c r="EU202" s="15"/>
      <c r="EV202" s="15"/>
      <c r="EW202" s="15"/>
      <c r="EX202" s="15"/>
      <c r="EY202" s="15"/>
      <c r="EZ202" s="15"/>
      <c r="FA202" s="15"/>
      <c r="FB202" s="15"/>
      <c r="FC202" s="15"/>
      <c r="FD202" s="15"/>
      <c r="FE202" s="15"/>
      <c r="FF202" s="15"/>
      <c r="FG202" s="15"/>
      <c r="FH202" s="15"/>
      <c r="FI202" s="15"/>
      <c r="FJ202" s="15"/>
      <c r="FK202" s="15"/>
      <c r="FL202" s="15"/>
      <c r="FM202" s="15"/>
      <c r="FN202" s="15"/>
      <c r="FO202" s="15"/>
    </row>
    <row r="203" spans="2:171" s="2" customFormat="1" ht="15" customHeight="1">
      <c r="B203" s="8" t="s">
        <v>173</v>
      </c>
      <c r="C203" s="2">
        <f>(20+41/60+24/3600)</f>
        <v>20.69</v>
      </c>
      <c r="D203" s="2">
        <f>45+16.9/60</f>
        <v>45.281666666666666</v>
      </c>
      <c r="E203" s="17">
        <f t="shared" si="13"/>
        <v>49.269531485470168</v>
      </c>
      <c r="F203" s="17">
        <f t="shared" si="29"/>
        <v>45.374328310072798</v>
      </c>
      <c r="G203" s="17">
        <f t="shared" si="5"/>
        <v>-14.072369883828495</v>
      </c>
      <c r="H203" s="17">
        <f t="shared" si="6"/>
        <v>4.2833657197078132</v>
      </c>
      <c r="I203" s="19">
        <f t="shared" si="7"/>
        <v>49.270137891671297</v>
      </c>
      <c r="J203" s="19">
        <f t="shared" si="8"/>
        <v>45.373741897959732</v>
      </c>
      <c r="L203" s="20"/>
      <c r="N203" s="15"/>
      <c r="O203" s="24" t="s">
        <v>168</v>
      </c>
      <c r="P203" s="15">
        <v>0</v>
      </c>
      <c r="Q203" s="15"/>
      <c r="R203" s="15"/>
      <c r="S203" s="15"/>
      <c r="T203" s="15"/>
      <c r="U203" s="15"/>
      <c r="V203" s="15"/>
      <c r="W203" s="15"/>
      <c r="X203" s="15"/>
      <c r="Y203" s="15">
        <f t="shared" si="20"/>
        <v>139.95780404494008</v>
      </c>
      <c r="Z203" s="15">
        <f t="shared" si="21"/>
        <v>139.95780404494008</v>
      </c>
      <c r="AA203" s="15">
        <f t="shared" si="22"/>
        <v>-59.590641660710872</v>
      </c>
      <c r="AB203" s="15">
        <f t="shared" si="23"/>
        <v>1</v>
      </c>
      <c r="AC203" s="15">
        <f t="shared" si="14"/>
        <v>0.90323845769031597</v>
      </c>
      <c r="AD203" s="15">
        <f t="shared" si="24"/>
        <v>0.90323845769031597</v>
      </c>
      <c r="AE203" s="15">
        <f t="shared" si="25"/>
        <v>-2.6483513477316372</v>
      </c>
      <c r="AF203" s="15">
        <f t="shared" si="26"/>
        <v>-1.7451128900413213</v>
      </c>
      <c r="AG203" s="15">
        <f t="shared" si="27"/>
        <v>35.731487101806707</v>
      </c>
      <c r="AH203" s="15">
        <f t="shared" si="28"/>
        <v>215.73148710180669</v>
      </c>
      <c r="AI203" s="15">
        <f t="shared" si="15"/>
        <v>-96.790641660710875</v>
      </c>
      <c r="AJ203" s="21">
        <f t="shared" si="16"/>
        <v>-56.108021096563256</v>
      </c>
      <c r="AK203" s="21">
        <f t="shared" si="17"/>
        <v>-56.108021096563256</v>
      </c>
      <c r="AL203" s="8" t="s">
        <v>168</v>
      </c>
      <c r="AM203" s="21">
        <f t="shared" si="18"/>
        <v>215.73148710180669</v>
      </c>
      <c r="AN203" s="21">
        <f t="shared" si="19"/>
        <v>-56.108021096563256</v>
      </c>
      <c r="AO203" s="21"/>
      <c r="AP203" s="21"/>
      <c r="AQ203" s="21"/>
      <c r="AR203" s="21"/>
      <c r="AS203" s="15"/>
      <c r="AT203" s="21"/>
      <c r="AU203" s="22"/>
      <c r="AV203" s="21"/>
      <c r="AW203" s="15"/>
      <c r="AX203" s="21"/>
      <c r="AY203" s="15"/>
      <c r="AZ203" s="15"/>
      <c r="BA203" s="15"/>
      <c r="BB203" s="15"/>
      <c r="BC203" s="15"/>
      <c r="BD203" s="19"/>
      <c r="BF203" s="19"/>
      <c r="BH203" s="19"/>
      <c r="BI203" s="19"/>
      <c r="BJ203" s="19"/>
      <c r="BK203" s="19"/>
      <c r="BL203" s="19"/>
      <c r="BN203" s="19"/>
      <c r="BO203" s="19"/>
      <c r="BP203" s="19"/>
      <c r="BQ203" s="19"/>
      <c r="BX203" s="19"/>
      <c r="BZ203" s="19"/>
      <c r="CA203" s="19"/>
      <c r="CB203" s="19"/>
      <c r="CC203" s="19"/>
      <c r="CD203" s="19"/>
      <c r="CE203" s="19"/>
      <c r="CF203" s="19"/>
      <c r="CG203" s="19"/>
      <c r="CH203" s="19"/>
      <c r="CI203" s="19"/>
      <c r="CJ203" s="19"/>
      <c r="CL203" s="19"/>
      <c r="CM203" s="19"/>
      <c r="CN203" s="19"/>
      <c r="CO203" s="19"/>
      <c r="CP203" s="19"/>
      <c r="CR203" s="19"/>
      <c r="CS203" s="19"/>
      <c r="CT203" s="19"/>
      <c r="CU203" s="19"/>
      <c r="CV203" s="19"/>
      <c r="CW203" s="15"/>
      <c r="CX203" s="15"/>
      <c r="CY203" s="21"/>
      <c r="CZ203" s="15"/>
      <c r="DA203" s="15"/>
      <c r="DB203" s="15"/>
      <c r="DC203" s="15"/>
      <c r="DD203" s="15"/>
      <c r="DE203" s="15"/>
      <c r="DF203" s="15"/>
      <c r="DG203" s="15"/>
      <c r="DH203" s="15"/>
      <c r="DI203" s="15"/>
      <c r="DJ203" s="15"/>
      <c r="DK203" s="15"/>
      <c r="DL203" s="15"/>
      <c r="DM203" s="15"/>
      <c r="DN203" s="15"/>
      <c r="DO203" s="15"/>
      <c r="DP203" s="15"/>
      <c r="DQ203" s="10"/>
      <c r="DR203" s="10"/>
      <c r="DS203" s="10"/>
      <c r="DT203" s="10"/>
      <c r="DU203" s="10"/>
      <c r="DV203" s="10"/>
      <c r="DW203" s="10"/>
      <c r="DX203" s="10"/>
      <c r="DY203" s="10"/>
      <c r="DZ203" s="10"/>
      <c r="EA203" s="10"/>
      <c r="EB203" s="15"/>
      <c r="EC203" s="15"/>
      <c r="ED203" s="15"/>
      <c r="EE203" s="15"/>
      <c r="EF203" s="15"/>
      <c r="EG203" s="15"/>
      <c r="EH203" s="15"/>
      <c r="EI203" s="15"/>
      <c r="EJ203" s="15"/>
      <c r="EK203" s="15"/>
      <c r="EL203" s="15"/>
      <c r="EM203" s="15"/>
      <c r="EN203" s="15"/>
      <c r="EO203" s="15"/>
      <c r="EP203" s="15"/>
      <c r="EQ203" s="15"/>
      <c r="ER203" s="15"/>
      <c r="ES203" s="15"/>
      <c r="ET203" s="15"/>
      <c r="EU203" s="15"/>
      <c r="EV203" s="15"/>
      <c r="EW203" s="15"/>
      <c r="EX203" s="15"/>
      <c r="EY203" s="15"/>
      <c r="EZ203" s="15"/>
      <c r="FA203" s="15"/>
      <c r="FB203" s="15"/>
      <c r="FC203" s="15"/>
      <c r="FD203" s="15"/>
      <c r="FE203" s="15"/>
      <c r="FF203" s="15"/>
      <c r="FG203" s="15"/>
      <c r="FH203" s="15"/>
      <c r="FI203" s="15"/>
      <c r="FJ203" s="15"/>
      <c r="FK203" s="15"/>
      <c r="FL203" s="15"/>
      <c r="FM203" s="15"/>
      <c r="FN203" s="15"/>
      <c r="FO203" s="15"/>
    </row>
    <row r="204" spans="2:171" s="2" customFormat="1" ht="15" customHeight="1">
      <c r="B204" s="8" t="s">
        <v>174</v>
      </c>
      <c r="C204" s="2">
        <f>(11+49/60+3/3600)</f>
        <v>11.817499999999999</v>
      </c>
      <c r="D204" s="2">
        <f>14+34.3/60</f>
        <v>14.571666666666667</v>
      </c>
      <c r="E204" s="17">
        <f t="shared" si="13"/>
        <v>182.40047678936651</v>
      </c>
      <c r="F204" s="17">
        <f t="shared" si="29"/>
        <v>14.428713274848253</v>
      </c>
      <c r="G204" s="17">
        <f t="shared" si="5"/>
        <v>-14.072369883828495</v>
      </c>
      <c r="H204" s="17">
        <f t="shared" si="6"/>
        <v>4.2833657197078132</v>
      </c>
      <c r="I204" s="19">
        <f t="shared" si="7"/>
        <v>182.39992052012087</v>
      </c>
      <c r="J204" s="19">
        <f t="shared" si="8"/>
        <v>14.430510167196076</v>
      </c>
      <c r="L204" s="20"/>
      <c r="N204" s="15"/>
      <c r="O204" s="24" t="s">
        <v>169</v>
      </c>
      <c r="P204" s="15">
        <v>0</v>
      </c>
      <c r="Q204" s="15"/>
      <c r="R204" s="15"/>
      <c r="S204" s="15"/>
      <c r="T204" s="15"/>
      <c r="U204" s="15"/>
      <c r="V204" s="15"/>
      <c r="W204" s="15"/>
      <c r="X204" s="15"/>
      <c r="Y204" s="15">
        <f t="shared" si="20"/>
        <v>184.27683169799593</v>
      </c>
      <c r="Z204" s="15">
        <f t="shared" si="21"/>
        <v>175.72316830200407</v>
      </c>
      <c r="AA204" s="15">
        <f t="shared" si="22"/>
        <v>6.3698991412684247</v>
      </c>
      <c r="AB204" s="15">
        <f t="shared" si="23"/>
        <v>1</v>
      </c>
      <c r="AC204" s="15">
        <f t="shared" si="14"/>
        <v>10.149817394678196</v>
      </c>
      <c r="AD204" s="15">
        <f t="shared" si="24"/>
        <v>10.149817394678196</v>
      </c>
      <c r="AE204" s="15">
        <f t="shared" si="25"/>
        <v>1.4969532984162335</v>
      </c>
      <c r="AF204" s="15">
        <f t="shared" si="26"/>
        <v>11.64677069309443</v>
      </c>
      <c r="AG204" s="15">
        <f t="shared" si="27"/>
        <v>6.1523543315236608</v>
      </c>
      <c r="AH204" s="15">
        <f t="shared" si="28"/>
        <v>6.1523543315236608</v>
      </c>
      <c r="AI204" s="15">
        <f t="shared" si="15"/>
        <v>-30.830100858731576</v>
      </c>
      <c r="AJ204" s="21">
        <f t="shared" si="16"/>
        <v>-46.247162278455484</v>
      </c>
      <c r="AK204" s="21">
        <f t="shared" si="17"/>
        <v>-46.247162278455484</v>
      </c>
      <c r="AL204" s="8" t="s">
        <v>169</v>
      </c>
      <c r="AM204" s="21">
        <f t="shared" si="18"/>
        <v>6.1523543315236608</v>
      </c>
      <c r="AN204" s="21">
        <f t="shared" si="19"/>
        <v>-46.247162278455484</v>
      </c>
      <c r="AO204" s="21"/>
      <c r="AP204" s="21"/>
      <c r="AQ204" s="21"/>
      <c r="AR204" s="21"/>
      <c r="AS204" s="15"/>
      <c r="AT204" s="21"/>
      <c r="AU204" s="22"/>
      <c r="AV204" s="21"/>
      <c r="AW204" s="15"/>
      <c r="AX204" s="21"/>
      <c r="AY204" s="15"/>
      <c r="AZ204" s="15"/>
      <c r="BA204" s="15"/>
      <c r="BB204" s="15"/>
      <c r="BC204" s="15"/>
      <c r="BD204" s="19"/>
      <c r="BF204" s="19"/>
      <c r="BH204" s="19"/>
      <c r="BI204" s="19"/>
      <c r="BJ204" s="19"/>
      <c r="BK204" s="19"/>
      <c r="BL204" s="19"/>
      <c r="BN204" s="19"/>
      <c r="BO204" s="19"/>
      <c r="BP204" s="19"/>
      <c r="BQ204" s="19"/>
      <c r="BX204" s="19"/>
      <c r="BZ204" s="19"/>
      <c r="CA204" s="19"/>
      <c r="CB204" s="19"/>
      <c r="CC204" s="19"/>
      <c r="CD204" s="19"/>
      <c r="CE204" s="19"/>
      <c r="CF204" s="19"/>
      <c r="CG204" s="19"/>
      <c r="CH204" s="19"/>
      <c r="CI204" s="19"/>
      <c r="CJ204" s="19"/>
      <c r="CL204" s="19"/>
      <c r="CM204" s="19"/>
      <c r="CN204" s="19"/>
      <c r="CO204" s="19"/>
      <c r="CP204" s="19"/>
      <c r="CR204" s="19"/>
      <c r="CS204" s="19"/>
      <c r="CT204" s="19"/>
      <c r="CU204" s="19"/>
      <c r="CV204" s="19"/>
      <c r="CW204" s="15"/>
      <c r="CX204" s="15"/>
      <c r="CY204" s="21"/>
      <c r="CZ204" s="15"/>
      <c r="DA204" s="15"/>
      <c r="DB204" s="15"/>
      <c r="DC204" s="15"/>
      <c r="DD204" s="15"/>
      <c r="DE204" s="15"/>
      <c r="DF204" s="15"/>
      <c r="DG204" s="15"/>
      <c r="DH204" s="15"/>
      <c r="DI204" s="15"/>
      <c r="DJ204" s="15"/>
      <c r="DK204" s="15"/>
      <c r="DL204" s="15"/>
      <c r="DM204" s="15"/>
      <c r="DN204" s="15"/>
      <c r="DO204" s="15"/>
      <c r="DP204" s="15"/>
      <c r="DQ204" s="10"/>
      <c r="DR204" s="10"/>
      <c r="DS204" s="10"/>
      <c r="DT204" s="10"/>
      <c r="DU204" s="10"/>
      <c r="DV204" s="10"/>
      <c r="DW204" s="10"/>
      <c r="DX204" s="10"/>
      <c r="DY204" s="10"/>
      <c r="DZ204" s="10"/>
      <c r="EA204" s="10"/>
      <c r="EB204" s="15"/>
      <c r="EC204" s="15"/>
      <c r="ED204" s="15"/>
      <c r="EE204" s="15"/>
      <c r="EF204" s="15"/>
      <c r="EG204" s="15"/>
      <c r="EH204" s="15"/>
      <c r="EI204" s="15"/>
      <c r="EJ204" s="15"/>
      <c r="EK204" s="15"/>
      <c r="EL204" s="15"/>
      <c r="EM204" s="15"/>
      <c r="EN204" s="15"/>
      <c r="EO204" s="15"/>
      <c r="EP204" s="15"/>
      <c r="EQ204" s="15"/>
      <c r="ER204" s="15"/>
      <c r="ES204" s="15"/>
      <c r="ET204" s="15"/>
      <c r="EU204" s="15"/>
      <c r="EV204" s="15"/>
      <c r="EW204" s="15"/>
      <c r="EX204" s="15"/>
      <c r="EY204" s="15"/>
      <c r="EZ204" s="15"/>
      <c r="FA204" s="15"/>
      <c r="FB204" s="15"/>
      <c r="FC204" s="15"/>
      <c r="FD204" s="15"/>
      <c r="FE204" s="15"/>
      <c r="FF204" s="15"/>
      <c r="FG204" s="15"/>
      <c r="FH204" s="15"/>
      <c r="FI204" s="15"/>
      <c r="FJ204" s="15"/>
      <c r="FK204" s="15"/>
      <c r="FL204" s="15"/>
      <c r="FM204" s="15"/>
      <c r="FN204" s="15"/>
      <c r="FO204" s="15"/>
    </row>
    <row r="205" spans="2:171" s="2" customFormat="1" ht="15" customHeight="1">
      <c r="B205" s="8" t="s">
        <v>175</v>
      </c>
      <c r="C205" s="2">
        <f>(0+43/60+34/3600)</f>
        <v>0.72611111111111115</v>
      </c>
      <c r="D205" s="2">
        <f>-17-59.4/60</f>
        <v>-17.989999999999998</v>
      </c>
      <c r="E205" s="17">
        <f t="shared" si="13"/>
        <v>348.77951817213545</v>
      </c>
      <c r="F205" s="17">
        <f t="shared" si="29"/>
        <v>-17.849461362769947</v>
      </c>
      <c r="G205" s="17">
        <f t="shared" si="5"/>
        <v>-14.072369883828495</v>
      </c>
      <c r="H205" s="17">
        <f t="shared" si="6"/>
        <v>4.2833657197078132</v>
      </c>
      <c r="I205" s="19">
        <f t="shared" si="7"/>
        <v>348.78024836848738</v>
      </c>
      <c r="J205" s="19">
        <f t="shared" si="8"/>
        <v>-17.850973269978638</v>
      </c>
      <c r="L205" s="20"/>
      <c r="N205" s="15"/>
      <c r="O205" s="24" t="s">
        <v>170</v>
      </c>
      <c r="P205" s="15">
        <v>0</v>
      </c>
      <c r="Q205" s="15"/>
      <c r="R205" s="15"/>
      <c r="S205" s="15"/>
      <c r="T205" s="15"/>
      <c r="U205" s="15"/>
      <c r="V205" s="15"/>
      <c r="W205" s="15"/>
      <c r="X205" s="15"/>
      <c r="Y205" s="15">
        <f t="shared" si="20"/>
        <v>176.76386714769774</v>
      </c>
      <c r="Z205" s="15">
        <f t="shared" si="21"/>
        <v>176.76386714769774</v>
      </c>
      <c r="AA205" s="15">
        <f t="shared" si="22"/>
        <v>7.4080976496668578</v>
      </c>
      <c r="AB205" s="15">
        <f t="shared" si="23"/>
        <v>1</v>
      </c>
      <c r="AC205" s="15">
        <f t="shared" si="14"/>
        <v>13.424544001882545</v>
      </c>
      <c r="AD205" s="15">
        <f t="shared" si="24"/>
        <v>13.424544001882545</v>
      </c>
      <c r="AE205" s="15">
        <f t="shared" si="25"/>
        <v>2.3032488461263392</v>
      </c>
      <c r="AF205" s="15">
        <f t="shared" si="26"/>
        <v>15.727792848008884</v>
      </c>
      <c r="AG205" s="15">
        <f t="shared" si="27"/>
        <v>4.5638660327784475</v>
      </c>
      <c r="AH205" s="15">
        <f t="shared" si="28"/>
        <v>355.43613396722156</v>
      </c>
      <c r="AI205" s="15">
        <f t="shared" si="15"/>
        <v>-29.791902350333146</v>
      </c>
      <c r="AJ205" s="21">
        <f t="shared" si="16"/>
        <v>-45.289228865267859</v>
      </c>
      <c r="AK205" s="21">
        <f t="shared" si="17"/>
        <v>-45.289228865267859</v>
      </c>
      <c r="AL205" s="8" t="s">
        <v>170</v>
      </c>
      <c r="AM205" s="21">
        <f t="shared" si="18"/>
        <v>355.43613396722156</v>
      </c>
      <c r="AN205" s="21">
        <f t="shared" si="19"/>
        <v>-45.289228865267859</v>
      </c>
      <c r="AO205" s="21"/>
      <c r="AP205" s="21"/>
      <c r="AQ205" s="21"/>
      <c r="AR205" s="21"/>
      <c r="AS205" s="15"/>
      <c r="AT205" s="21"/>
      <c r="AU205" s="22"/>
      <c r="AV205" s="21"/>
      <c r="AW205" s="15"/>
      <c r="AX205" s="21"/>
      <c r="AY205" s="15"/>
      <c r="AZ205" s="15"/>
      <c r="BA205" s="15"/>
      <c r="BB205" s="15"/>
      <c r="BC205" s="15"/>
      <c r="BD205" s="19"/>
      <c r="BF205" s="19"/>
      <c r="BH205" s="19"/>
      <c r="BI205" s="19"/>
      <c r="BJ205" s="19"/>
      <c r="BK205" s="19"/>
      <c r="BL205" s="19"/>
      <c r="BN205" s="19"/>
      <c r="BO205" s="19"/>
      <c r="BP205" s="19"/>
      <c r="BQ205" s="19"/>
      <c r="BX205" s="19"/>
      <c r="BZ205" s="19"/>
      <c r="CA205" s="19"/>
      <c r="CB205" s="19"/>
      <c r="CC205" s="19"/>
      <c r="CD205" s="19"/>
      <c r="CE205" s="19"/>
      <c r="CF205" s="19"/>
      <c r="CG205" s="19"/>
      <c r="CH205" s="19"/>
      <c r="CI205" s="19"/>
      <c r="CJ205" s="19"/>
      <c r="CL205" s="19"/>
      <c r="CM205" s="19"/>
      <c r="CN205" s="19"/>
      <c r="CO205" s="19"/>
      <c r="CP205" s="19"/>
      <c r="CR205" s="19"/>
      <c r="CS205" s="19"/>
      <c r="CT205" s="19"/>
      <c r="CU205" s="19"/>
      <c r="CV205" s="19"/>
      <c r="CW205" s="15"/>
      <c r="CX205" s="15"/>
      <c r="CY205" s="21"/>
      <c r="CZ205" s="15"/>
      <c r="DA205" s="15"/>
      <c r="DB205" s="15"/>
      <c r="DC205" s="15"/>
      <c r="DD205" s="15"/>
      <c r="DE205" s="15"/>
      <c r="DF205" s="15"/>
      <c r="DG205" s="15"/>
      <c r="DH205" s="15"/>
      <c r="DI205" s="15"/>
      <c r="DJ205" s="15"/>
      <c r="DK205" s="15"/>
      <c r="DL205" s="15"/>
      <c r="DM205" s="15"/>
      <c r="DN205" s="15"/>
      <c r="DO205" s="15"/>
      <c r="DP205" s="15"/>
      <c r="DQ205" s="10"/>
      <c r="DR205" s="10"/>
      <c r="DS205" s="10"/>
      <c r="DT205" s="10"/>
      <c r="DU205" s="10"/>
      <c r="DV205" s="10"/>
      <c r="DW205" s="10"/>
      <c r="DX205" s="10"/>
      <c r="DY205" s="10"/>
      <c r="DZ205" s="10"/>
      <c r="EA205" s="10"/>
      <c r="EB205" s="15"/>
      <c r="EC205" s="15"/>
      <c r="ED205" s="15"/>
      <c r="EE205" s="15"/>
      <c r="EF205" s="15"/>
      <c r="EG205" s="15"/>
      <c r="EH205" s="15"/>
      <c r="EI205" s="15"/>
      <c r="EJ205" s="15"/>
      <c r="EK205" s="15"/>
      <c r="EL205" s="15"/>
      <c r="EM205" s="15"/>
      <c r="EN205" s="15"/>
      <c r="EO205" s="15"/>
      <c r="EP205" s="15"/>
      <c r="EQ205" s="15"/>
      <c r="ER205" s="15"/>
      <c r="ES205" s="15"/>
      <c r="ET205" s="15"/>
      <c r="EU205" s="15"/>
      <c r="EV205" s="15"/>
      <c r="EW205" s="15"/>
      <c r="EX205" s="15"/>
      <c r="EY205" s="15"/>
      <c r="EZ205" s="15"/>
      <c r="FA205" s="15"/>
      <c r="FB205" s="15"/>
      <c r="FC205" s="15"/>
      <c r="FD205" s="15"/>
      <c r="FE205" s="15"/>
      <c r="FF205" s="15"/>
      <c r="FG205" s="15"/>
      <c r="FH205" s="15"/>
      <c r="FI205" s="15"/>
      <c r="FJ205" s="15"/>
      <c r="FK205" s="15"/>
      <c r="FL205" s="15"/>
      <c r="FM205" s="15"/>
      <c r="FN205" s="15"/>
      <c r="FO205" s="15"/>
    </row>
    <row r="206" spans="2:171" s="2" customFormat="1" ht="15" customHeight="1">
      <c r="B206" s="8" t="s">
        <v>176</v>
      </c>
      <c r="C206" s="2">
        <f>(11+3/60+43/3600)</f>
        <v>11.061944444444444</v>
      </c>
      <c r="D206" s="2">
        <f>61+44.8/60</f>
        <v>61.74666666666667</v>
      </c>
      <c r="E206" s="17">
        <f t="shared" si="13"/>
        <v>193.69033113295427</v>
      </c>
      <c r="F206" s="17">
        <f t="shared" si="29"/>
        <v>61.607844042071243</v>
      </c>
      <c r="G206" s="17">
        <f t="shared" si="5"/>
        <v>-14.072369883828495</v>
      </c>
      <c r="H206" s="17">
        <f t="shared" si="6"/>
        <v>4.2833657197078132</v>
      </c>
      <c r="I206" s="19">
        <f t="shared" si="7"/>
        <v>193.69394606820418</v>
      </c>
      <c r="J206" s="19">
        <f t="shared" si="8"/>
        <v>61.609580674344926</v>
      </c>
      <c r="L206" s="20"/>
      <c r="N206" s="15"/>
      <c r="O206" s="24" t="s">
        <v>171</v>
      </c>
      <c r="P206" s="15">
        <v>0</v>
      </c>
      <c r="Q206" s="15"/>
      <c r="R206" s="15"/>
      <c r="S206" s="15"/>
      <c r="T206" s="15"/>
      <c r="U206" s="15"/>
      <c r="V206" s="15"/>
      <c r="W206" s="15"/>
      <c r="X206" s="15"/>
      <c r="Y206" s="15">
        <f t="shared" si="20"/>
        <v>169.58813386020529</v>
      </c>
      <c r="Z206" s="15">
        <f t="shared" si="21"/>
        <v>169.58813386020529</v>
      </c>
      <c r="AA206" s="15">
        <f t="shared" si="22"/>
        <v>-52.712987700947934</v>
      </c>
      <c r="AB206" s="15">
        <f t="shared" si="23"/>
        <v>1</v>
      </c>
      <c r="AC206" s="15">
        <f t="shared" si="14"/>
        <v>4.1308723239294896</v>
      </c>
      <c r="AD206" s="15">
        <f t="shared" si="24"/>
        <v>4.1308723239294896</v>
      </c>
      <c r="AE206" s="15">
        <f t="shared" si="25"/>
        <v>-7.2669568640099653</v>
      </c>
      <c r="AF206" s="15">
        <f t="shared" si="26"/>
        <v>-3.1360845400804758</v>
      </c>
      <c r="AG206" s="15">
        <f t="shared" si="27"/>
        <v>21.817343554436359</v>
      </c>
      <c r="AH206" s="15">
        <f t="shared" si="28"/>
        <v>201.81734355443635</v>
      </c>
      <c r="AI206" s="15">
        <f t="shared" si="15"/>
        <v>-89.912987700947937</v>
      </c>
      <c r="AJ206" s="21">
        <f t="shared" si="16"/>
        <v>-72.867156997831259</v>
      </c>
      <c r="AK206" s="21">
        <f t="shared" si="17"/>
        <v>-72.867156997831259</v>
      </c>
      <c r="AL206" s="8" t="s">
        <v>171</v>
      </c>
      <c r="AM206" s="21">
        <f t="shared" si="18"/>
        <v>201.81734355443635</v>
      </c>
      <c r="AN206" s="21">
        <f t="shared" si="19"/>
        <v>-72.867156997831259</v>
      </c>
      <c r="AO206" s="21"/>
      <c r="AP206" s="21"/>
      <c r="AQ206" s="21"/>
      <c r="AR206" s="21"/>
      <c r="AS206" s="15"/>
      <c r="AT206" s="21"/>
      <c r="AU206" s="22"/>
      <c r="AV206" s="21"/>
      <c r="AW206" s="15"/>
      <c r="AX206" s="21"/>
      <c r="AY206" s="15"/>
      <c r="AZ206" s="15"/>
      <c r="BA206" s="15"/>
      <c r="BB206" s="15"/>
      <c r="BC206" s="15"/>
      <c r="BD206" s="19"/>
      <c r="BF206" s="19"/>
      <c r="BH206" s="19"/>
      <c r="BI206" s="19"/>
      <c r="BJ206" s="19"/>
      <c r="BK206" s="19"/>
      <c r="BL206" s="19"/>
      <c r="BN206" s="19"/>
      <c r="BO206" s="19"/>
      <c r="BP206" s="19"/>
      <c r="BQ206" s="19"/>
      <c r="BX206" s="19"/>
      <c r="BZ206" s="19"/>
      <c r="CA206" s="19"/>
      <c r="CB206" s="19"/>
      <c r="CC206" s="19"/>
      <c r="CD206" s="19"/>
      <c r="CE206" s="19"/>
      <c r="CF206" s="19"/>
      <c r="CG206" s="19"/>
      <c r="CH206" s="19"/>
      <c r="CI206" s="19"/>
      <c r="CJ206" s="19"/>
      <c r="CL206" s="19"/>
      <c r="CM206" s="19"/>
      <c r="CN206" s="19"/>
      <c r="CO206" s="19"/>
      <c r="CP206" s="19"/>
      <c r="CR206" s="19"/>
      <c r="CS206" s="19"/>
      <c r="CT206" s="19"/>
      <c r="CU206" s="19"/>
      <c r="CV206" s="19"/>
      <c r="CW206" s="15"/>
      <c r="CX206" s="15"/>
      <c r="CY206" s="21"/>
      <c r="CZ206" s="15"/>
      <c r="DA206" s="15"/>
      <c r="DB206" s="15"/>
      <c r="DC206" s="15"/>
      <c r="DD206" s="15"/>
      <c r="DE206" s="15"/>
      <c r="DF206" s="15"/>
      <c r="DG206" s="15"/>
      <c r="DH206" s="15"/>
      <c r="DI206" s="15"/>
      <c r="DJ206" s="15"/>
      <c r="DK206" s="15"/>
      <c r="DL206" s="15"/>
      <c r="DM206" s="15"/>
      <c r="DN206" s="15"/>
      <c r="DO206" s="15"/>
      <c r="DP206" s="15"/>
      <c r="DQ206" s="10"/>
      <c r="DR206" s="10"/>
      <c r="DS206" s="10"/>
      <c r="DT206" s="10"/>
      <c r="DU206" s="10"/>
      <c r="DV206" s="10"/>
      <c r="DW206" s="10"/>
      <c r="DX206" s="10"/>
      <c r="DY206" s="10"/>
      <c r="DZ206" s="10"/>
      <c r="EA206" s="10"/>
      <c r="EB206" s="15"/>
      <c r="EC206" s="15"/>
      <c r="ED206" s="15"/>
      <c r="EE206" s="15"/>
      <c r="EF206" s="15"/>
      <c r="EG206" s="15"/>
      <c r="EH206" s="15"/>
      <c r="EI206" s="15"/>
      <c r="EJ206" s="15"/>
      <c r="EK206" s="15"/>
      <c r="EL206" s="15"/>
      <c r="EM206" s="15"/>
      <c r="EN206" s="15"/>
      <c r="EO206" s="15"/>
      <c r="EP206" s="15"/>
      <c r="EQ206" s="15"/>
      <c r="ER206" s="15"/>
      <c r="ES206" s="15"/>
      <c r="ET206" s="15"/>
      <c r="EU206" s="15"/>
      <c r="EV206" s="15"/>
      <c r="EW206" s="15"/>
      <c r="EX206" s="15"/>
      <c r="EY206" s="15"/>
      <c r="EZ206" s="15"/>
      <c r="FA206" s="15"/>
      <c r="FB206" s="15"/>
      <c r="FC206" s="15"/>
      <c r="FD206" s="15"/>
      <c r="FE206" s="15"/>
      <c r="FF206" s="15"/>
      <c r="FG206" s="15"/>
      <c r="FH206" s="15"/>
      <c r="FI206" s="15"/>
      <c r="FJ206" s="15"/>
      <c r="FK206" s="15"/>
      <c r="FL206" s="15"/>
      <c r="FM206" s="15"/>
      <c r="FN206" s="15"/>
      <c r="FO206" s="15"/>
    </row>
    <row r="207" spans="2:171" s="2" customFormat="1" ht="15" customHeight="1">
      <c r="B207" s="8" t="s">
        <v>177</v>
      </c>
      <c r="C207" s="2">
        <f>(5+26/60+18/3600)</f>
        <v>5.4383333333333335</v>
      </c>
      <c r="D207" s="2">
        <f>28+36.4/60</f>
        <v>28.606666666666666</v>
      </c>
      <c r="E207" s="17">
        <f t="shared" si="13"/>
        <v>278.08819862145577</v>
      </c>
      <c r="F207" s="17">
        <f t="shared" si="29"/>
        <v>28.627635363990834</v>
      </c>
      <c r="G207" s="17">
        <f t="shared" si="5"/>
        <v>-14.072369883828495</v>
      </c>
      <c r="H207" s="17">
        <f t="shared" si="6"/>
        <v>4.2833657197078132</v>
      </c>
      <c r="I207" s="19">
        <f t="shared" si="7"/>
        <v>278.08726872221291</v>
      </c>
      <c r="J207" s="19">
        <f t="shared" si="8"/>
        <v>28.627520298940443</v>
      </c>
      <c r="L207" s="20"/>
      <c r="N207" s="15"/>
      <c r="O207" s="24" t="s">
        <v>172</v>
      </c>
      <c r="P207" s="15">
        <v>0</v>
      </c>
      <c r="Q207" s="15"/>
      <c r="R207" s="15"/>
      <c r="S207" s="15"/>
      <c r="T207" s="15"/>
      <c r="U207" s="15"/>
      <c r="V207" s="15"/>
      <c r="W207" s="15"/>
      <c r="X207" s="15"/>
      <c r="Y207" s="15">
        <f t="shared" si="20"/>
        <v>186.37152909800056</v>
      </c>
      <c r="Z207" s="15">
        <f t="shared" si="21"/>
        <v>173.62847090199944</v>
      </c>
      <c r="AA207" s="15">
        <f t="shared" si="22"/>
        <v>46.025029481716821</v>
      </c>
      <c r="AB207" s="15">
        <f t="shared" si="23"/>
        <v>1</v>
      </c>
      <c r="AC207" s="15">
        <f t="shared" si="14"/>
        <v>6.7974962622664714</v>
      </c>
      <c r="AD207" s="15">
        <f t="shared" si="24"/>
        <v>6.7974962622664714</v>
      </c>
      <c r="AE207" s="15">
        <f t="shared" si="25"/>
        <v>9.339356048967101</v>
      </c>
      <c r="AF207" s="15">
        <f t="shared" si="26"/>
        <v>16.136852311233572</v>
      </c>
      <c r="AG207" s="15">
        <f t="shared" si="27"/>
        <v>4.448645187784682</v>
      </c>
      <c r="AH207" s="15">
        <f t="shared" si="28"/>
        <v>4.448645187784682</v>
      </c>
      <c r="AI207" s="15">
        <f t="shared" si="15"/>
        <v>8.8250294817168182</v>
      </c>
      <c r="AJ207" s="21">
        <f t="shared" si="16"/>
        <v>-6.5779010589199309</v>
      </c>
      <c r="AK207" s="21">
        <f t="shared" si="17"/>
        <v>-6.5779010589199309</v>
      </c>
      <c r="AL207" s="8" t="s">
        <v>172</v>
      </c>
      <c r="AM207" s="21">
        <f t="shared" si="18"/>
        <v>4.448645187784682</v>
      </c>
      <c r="AN207" s="21">
        <f t="shared" si="19"/>
        <v>-6.5779010589199309</v>
      </c>
      <c r="AO207" s="21"/>
      <c r="AP207" s="21"/>
      <c r="AQ207" s="21"/>
      <c r="AR207" s="21"/>
      <c r="AS207" s="15"/>
      <c r="AT207" s="21"/>
      <c r="AU207" s="22"/>
      <c r="AV207" s="21"/>
      <c r="AW207" s="15"/>
      <c r="AX207" s="21"/>
      <c r="AY207" s="15"/>
      <c r="AZ207" s="15"/>
      <c r="BA207" s="15"/>
      <c r="BB207" s="15"/>
      <c r="BC207" s="15"/>
      <c r="BD207" s="19"/>
      <c r="BF207" s="19"/>
      <c r="BH207" s="19"/>
      <c r="BI207" s="19"/>
      <c r="BJ207" s="19"/>
      <c r="BK207" s="19"/>
      <c r="BL207" s="19"/>
      <c r="BN207" s="19"/>
      <c r="BO207" s="19"/>
      <c r="BP207" s="19"/>
      <c r="BQ207" s="19"/>
      <c r="BX207" s="19"/>
      <c r="BZ207" s="19"/>
      <c r="CA207" s="19"/>
      <c r="CB207" s="19"/>
      <c r="CC207" s="19"/>
      <c r="CD207" s="19"/>
      <c r="CE207" s="19"/>
      <c r="CF207" s="19"/>
      <c r="CG207" s="19"/>
      <c r="CH207" s="19"/>
      <c r="CI207" s="19"/>
      <c r="CJ207" s="19"/>
      <c r="CL207" s="19"/>
      <c r="CM207" s="19"/>
      <c r="CN207" s="19"/>
      <c r="CO207" s="19"/>
      <c r="CP207" s="19"/>
      <c r="CR207" s="19"/>
      <c r="CS207" s="19"/>
      <c r="CT207" s="19"/>
      <c r="CU207" s="19"/>
      <c r="CV207" s="19"/>
      <c r="CW207" s="15"/>
      <c r="CX207" s="15"/>
      <c r="CY207" s="21"/>
      <c r="CZ207" s="15"/>
      <c r="DA207" s="15"/>
      <c r="DB207" s="15"/>
      <c r="DC207" s="15"/>
      <c r="DD207" s="15"/>
      <c r="DE207" s="15"/>
      <c r="DF207" s="15"/>
      <c r="DG207" s="15"/>
      <c r="DH207" s="15"/>
      <c r="DI207" s="15"/>
      <c r="DJ207" s="15"/>
      <c r="DK207" s="15"/>
      <c r="DL207" s="15"/>
      <c r="DM207" s="15"/>
      <c r="DN207" s="15"/>
      <c r="DO207" s="15"/>
      <c r="DP207" s="15"/>
      <c r="DQ207" s="10"/>
      <c r="DR207" s="10"/>
      <c r="DS207" s="10"/>
      <c r="DT207" s="10"/>
      <c r="DU207" s="10"/>
      <c r="DV207" s="10"/>
      <c r="DW207" s="10"/>
      <c r="DX207" s="10"/>
      <c r="DY207" s="10"/>
      <c r="DZ207" s="10"/>
      <c r="EA207" s="10"/>
      <c r="EB207" s="15"/>
      <c r="EC207" s="15"/>
      <c r="ED207" s="15"/>
      <c r="EE207" s="15"/>
      <c r="EF207" s="15"/>
      <c r="EG207" s="15"/>
      <c r="EH207" s="15"/>
      <c r="EI207" s="15"/>
      <c r="EJ207" s="15"/>
      <c r="EK207" s="15"/>
      <c r="EL207" s="15"/>
      <c r="EM207" s="15"/>
      <c r="EN207" s="15"/>
      <c r="EO207" s="15"/>
      <c r="EP207" s="15"/>
      <c r="EQ207" s="15"/>
      <c r="ER207" s="15"/>
      <c r="ES207" s="15"/>
      <c r="ET207" s="15"/>
      <c r="EU207" s="15"/>
      <c r="EV207" s="15"/>
      <c r="EW207" s="15"/>
      <c r="EX207" s="15"/>
      <c r="EY207" s="15"/>
      <c r="EZ207" s="15"/>
      <c r="FA207" s="15"/>
      <c r="FB207" s="15"/>
      <c r="FC207" s="15"/>
      <c r="FD207" s="15"/>
      <c r="FE207" s="15"/>
      <c r="FF207" s="15"/>
      <c r="FG207" s="15"/>
      <c r="FH207" s="15"/>
      <c r="FI207" s="15"/>
      <c r="FJ207" s="15"/>
      <c r="FK207" s="15"/>
      <c r="FL207" s="15"/>
      <c r="FM207" s="15"/>
      <c r="FN207" s="15"/>
      <c r="FO207" s="15"/>
    </row>
    <row r="208" spans="2:171" s="2" customFormat="1" ht="15" customHeight="1">
      <c r="B208" s="8" t="s">
        <v>178</v>
      </c>
      <c r="C208" s="2">
        <f>(17+56/60+34/3600)</f>
        <v>17.942777777777778</v>
      </c>
      <c r="D208" s="2">
        <f>51+29.3/60</f>
        <v>51.488333333333337</v>
      </c>
      <c r="E208" s="17">
        <f t="shared" si="13"/>
        <v>90.473524239839548</v>
      </c>
      <c r="F208" s="17">
        <f t="shared" si="29"/>
        <v>51.486189418875838</v>
      </c>
      <c r="G208" s="17">
        <f t="shared" si="5"/>
        <v>-14.072369883828495</v>
      </c>
      <c r="H208" s="17">
        <f t="shared" si="6"/>
        <v>4.2833657197078132</v>
      </c>
      <c r="I208" s="19">
        <f t="shared" si="7"/>
        <v>90.474378570111455</v>
      </c>
      <c r="J208" s="19">
        <f t="shared" si="8"/>
        <v>51.486579258470449</v>
      </c>
      <c r="L208" s="20"/>
      <c r="N208" s="15"/>
      <c r="O208" s="24" t="s">
        <v>173</v>
      </c>
      <c r="P208" s="15">
        <v>0</v>
      </c>
      <c r="Q208" s="15"/>
      <c r="R208" s="15"/>
      <c r="S208" s="15"/>
      <c r="T208" s="15"/>
      <c r="U208" s="15"/>
      <c r="V208" s="15"/>
      <c r="W208" s="15"/>
      <c r="X208" s="15"/>
      <c r="Y208" s="15">
        <f t="shared" si="20"/>
        <v>315.16122030512122</v>
      </c>
      <c r="Z208" s="15">
        <f t="shared" si="21"/>
        <v>44.838779694878781</v>
      </c>
      <c r="AA208" s="15">
        <f t="shared" si="22"/>
        <v>45.373741897959732</v>
      </c>
      <c r="AB208" s="15">
        <f t="shared" si="23"/>
        <v>0</v>
      </c>
      <c r="AC208" s="15">
        <f t="shared" si="14"/>
        <v>0.76332499696130995</v>
      </c>
      <c r="AD208" s="15">
        <f t="shared" si="24"/>
        <v>-0.76332499696130995</v>
      </c>
      <c r="AE208" s="15">
        <f t="shared" si="25"/>
        <v>1.4368335536916779</v>
      </c>
      <c r="AF208" s="15">
        <f t="shared" si="26"/>
        <v>0.67350855673036791</v>
      </c>
      <c r="AG208" s="15">
        <f t="shared" si="27"/>
        <v>61.787789323301539</v>
      </c>
      <c r="AH208" s="15">
        <f t="shared" si="28"/>
        <v>61.787789323301539</v>
      </c>
      <c r="AI208" s="15">
        <f t="shared" si="15"/>
        <v>8.1737418979597294</v>
      </c>
      <c r="AJ208" s="21">
        <f t="shared" si="16"/>
        <v>55.798522134884593</v>
      </c>
      <c r="AK208" s="21">
        <f t="shared" si="17"/>
        <v>55.798522134884593</v>
      </c>
      <c r="AL208" s="8" t="s">
        <v>173</v>
      </c>
      <c r="AM208" s="21">
        <f t="shared" si="18"/>
        <v>61.787789323301539</v>
      </c>
      <c r="AN208" s="21">
        <f t="shared" si="19"/>
        <v>55.798522134884593</v>
      </c>
      <c r="AO208" s="21"/>
      <c r="AP208" s="21"/>
      <c r="AQ208" s="21"/>
      <c r="AR208" s="21"/>
      <c r="AS208" s="15"/>
      <c r="AT208" s="21"/>
      <c r="AU208" s="22"/>
      <c r="AV208" s="21"/>
      <c r="AW208" s="15"/>
      <c r="AX208" s="21"/>
      <c r="AY208" s="15"/>
      <c r="AZ208" s="15"/>
      <c r="BA208" s="15"/>
      <c r="BB208" s="15"/>
      <c r="BC208" s="15"/>
      <c r="BD208" s="19"/>
      <c r="BF208" s="19"/>
      <c r="BH208" s="19"/>
      <c r="BI208" s="19"/>
      <c r="BJ208" s="19"/>
      <c r="BK208" s="19"/>
      <c r="BL208" s="19"/>
      <c r="BN208" s="19"/>
      <c r="BO208" s="19"/>
      <c r="BP208" s="19"/>
      <c r="BQ208" s="19"/>
      <c r="BX208" s="19"/>
      <c r="BZ208" s="19"/>
      <c r="CA208" s="19"/>
      <c r="CB208" s="19"/>
      <c r="CC208" s="19"/>
      <c r="CD208" s="19"/>
      <c r="CE208" s="19"/>
      <c r="CF208" s="19"/>
      <c r="CG208" s="19"/>
      <c r="CH208" s="19"/>
      <c r="CI208" s="19"/>
      <c r="CJ208" s="19"/>
      <c r="CL208" s="19"/>
      <c r="CM208" s="19"/>
      <c r="CN208" s="19"/>
      <c r="CO208" s="19"/>
      <c r="CP208" s="19"/>
      <c r="CR208" s="19"/>
      <c r="CS208" s="19"/>
      <c r="CT208" s="19"/>
      <c r="CU208" s="19"/>
      <c r="CV208" s="19"/>
      <c r="CW208" s="15"/>
      <c r="CX208" s="15"/>
      <c r="CY208" s="21"/>
      <c r="CZ208" s="15"/>
      <c r="DA208" s="15"/>
      <c r="DB208" s="15"/>
      <c r="DC208" s="15"/>
      <c r="DD208" s="15"/>
      <c r="DE208" s="15"/>
      <c r="DF208" s="15"/>
      <c r="DG208" s="15"/>
      <c r="DH208" s="15"/>
      <c r="DI208" s="15"/>
      <c r="DJ208" s="15"/>
      <c r="DK208" s="15"/>
      <c r="DL208" s="15"/>
      <c r="DM208" s="15"/>
      <c r="DN208" s="15"/>
      <c r="DO208" s="15"/>
      <c r="DP208" s="15"/>
      <c r="DQ208" s="10"/>
      <c r="DR208" s="10"/>
      <c r="DS208" s="10"/>
      <c r="DT208" s="10"/>
      <c r="DU208" s="10"/>
      <c r="DV208" s="10"/>
      <c r="DW208" s="10"/>
      <c r="DX208" s="10"/>
      <c r="DY208" s="10"/>
      <c r="DZ208" s="10"/>
      <c r="EA208" s="10"/>
      <c r="EB208" s="15"/>
      <c r="EC208" s="15"/>
      <c r="ED208" s="15"/>
      <c r="EE208" s="15"/>
      <c r="EF208" s="15"/>
      <c r="EG208" s="15"/>
      <c r="EH208" s="15"/>
      <c r="EI208" s="15"/>
      <c r="EJ208" s="15"/>
      <c r="EK208" s="15"/>
      <c r="EL208" s="15"/>
      <c r="EM208" s="15"/>
      <c r="EN208" s="15"/>
      <c r="EO208" s="15"/>
      <c r="EP208" s="15"/>
      <c r="EQ208" s="15"/>
      <c r="ER208" s="15"/>
      <c r="ES208" s="15"/>
      <c r="ET208" s="15"/>
      <c r="EU208" s="15"/>
      <c r="EV208" s="15"/>
      <c r="EW208" s="15"/>
      <c r="EX208" s="15"/>
      <c r="EY208" s="15"/>
      <c r="EZ208" s="15"/>
      <c r="FA208" s="15"/>
      <c r="FB208" s="15"/>
      <c r="FC208" s="15"/>
      <c r="FD208" s="15"/>
      <c r="FE208" s="15"/>
      <c r="FF208" s="15"/>
      <c r="FG208" s="15"/>
      <c r="FH208" s="15"/>
      <c r="FI208" s="15"/>
      <c r="FJ208" s="15"/>
      <c r="FK208" s="15"/>
      <c r="FL208" s="15"/>
      <c r="FM208" s="15"/>
      <c r="FN208" s="15"/>
      <c r="FO208" s="15"/>
    </row>
    <row r="209" spans="2:171" s="2" customFormat="1" ht="15" customHeight="1">
      <c r="B209" s="8" t="s">
        <v>179</v>
      </c>
      <c r="C209" s="2">
        <f>(21+44/60+10/3600)</f>
        <v>21.736111111111111</v>
      </c>
      <c r="D209" s="2">
        <f>9+52.5/60</f>
        <v>9.875</v>
      </c>
      <c r="E209" s="17">
        <f t="shared" si="13"/>
        <v>33.619702942730953</v>
      </c>
      <c r="F209" s="17">
        <f t="shared" si="29"/>
        <v>9.9937072997513869</v>
      </c>
      <c r="G209" s="17">
        <f t="shared" si="5"/>
        <v>-14.072369883828495</v>
      </c>
      <c r="H209" s="17">
        <f t="shared" si="6"/>
        <v>4.2833657197078132</v>
      </c>
      <c r="I209" s="19">
        <f t="shared" si="7"/>
        <v>33.618485483803539</v>
      </c>
      <c r="J209" s="19">
        <f t="shared" si="8"/>
        <v>9.9928581470713986</v>
      </c>
      <c r="L209" s="20"/>
      <c r="N209" s="15"/>
      <c r="O209" s="24" t="s">
        <v>174</v>
      </c>
      <c r="P209" s="15">
        <v>0</v>
      </c>
      <c r="Q209" s="15"/>
      <c r="R209" s="15"/>
      <c r="S209" s="15"/>
      <c r="T209" s="15"/>
      <c r="U209" s="15"/>
      <c r="V209" s="15"/>
      <c r="W209" s="15"/>
      <c r="X209" s="15"/>
      <c r="Y209" s="15">
        <f t="shared" si="20"/>
        <v>88.29100293357078</v>
      </c>
      <c r="Z209" s="15">
        <f t="shared" si="21"/>
        <v>88.29100293357078</v>
      </c>
      <c r="AA209" s="15">
        <f t="shared" si="22"/>
        <v>14.430510167196076</v>
      </c>
      <c r="AB209" s="15">
        <f t="shared" si="23"/>
        <v>0</v>
      </c>
      <c r="AC209" s="15">
        <f t="shared" si="14"/>
        <v>2.2647116870933383E-2</v>
      </c>
      <c r="AD209" s="15">
        <f t="shared" si="24"/>
        <v>-2.2647116870933383E-2</v>
      </c>
      <c r="AE209" s="15">
        <f t="shared" si="25"/>
        <v>0.25743855694962925</v>
      </c>
      <c r="AF209" s="15">
        <f t="shared" si="26"/>
        <v>0.23479144007869587</v>
      </c>
      <c r="AG209" s="15">
        <f t="shared" si="27"/>
        <v>79.407003191257175</v>
      </c>
      <c r="AH209" s="15">
        <f t="shared" si="28"/>
        <v>280.59299680874284</v>
      </c>
      <c r="AI209" s="15">
        <f t="shared" si="15"/>
        <v>-22.769489832803927</v>
      </c>
      <c r="AJ209" s="21">
        <f t="shared" si="16"/>
        <v>10.001567235778255</v>
      </c>
      <c r="AK209" s="21">
        <f t="shared" si="17"/>
        <v>10.001567235778255</v>
      </c>
      <c r="AL209" s="8" t="s">
        <v>174</v>
      </c>
      <c r="AM209" s="21">
        <f t="shared" si="18"/>
        <v>280.59299680874284</v>
      </c>
      <c r="AN209" s="21">
        <f t="shared" si="19"/>
        <v>10.001567235778255</v>
      </c>
      <c r="AO209" s="21"/>
      <c r="AP209" s="21"/>
      <c r="AQ209" s="21"/>
      <c r="AR209" s="21"/>
      <c r="AS209" s="15"/>
      <c r="AT209" s="21"/>
      <c r="AU209" s="22"/>
      <c r="AV209" s="21"/>
      <c r="AW209" s="15"/>
      <c r="AX209" s="21"/>
      <c r="AY209" s="15"/>
      <c r="AZ209" s="15"/>
      <c r="BA209" s="15"/>
      <c r="BB209" s="15"/>
      <c r="BC209" s="15"/>
      <c r="BD209" s="19"/>
      <c r="BF209" s="19"/>
      <c r="BH209" s="19"/>
      <c r="BI209" s="19"/>
      <c r="BJ209" s="19"/>
      <c r="BK209" s="19"/>
      <c r="BL209" s="19"/>
      <c r="BN209" s="19"/>
      <c r="BO209" s="19"/>
      <c r="BP209" s="19"/>
      <c r="BQ209" s="19"/>
      <c r="BX209" s="19"/>
      <c r="BZ209" s="19"/>
      <c r="CA209" s="19"/>
      <c r="CB209" s="19"/>
      <c r="CC209" s="19"/>
      <c r="CD209" s="19"/>
      <c r="CE209" s="19"/>
      <c r="CF209" s="19"/>
      <c r="CG209" s="19"/>
      <c r="CH209" s="19"/>
      <c r="CI209" s="19"/>
      <c r="CJ209" s="19"/>
      <c r="CL209" s="19"/>
      <c r="CM209" s="19"/>
      <c r="CN209" s="19"/>
      <c r="CO209" s="19"/>
      <c r="CP209" s="19"/>
      <c r="CR209" s="19"/>
      <c r="CS209" s="19"/>
      <c r="CT209" s="19"/>
      <c r="CU209" s="19"/>
      <c r="CV209" s="19"/>
      <c r="CW209" s="15"/>
      <c r="CX209" s="15"/>
      <c r="CY209" s="21"/>
      <c r="CZ209" s="15"/>
      <c r="DA209" s="15"/>
      <c r="DB209" s="15"/>
      <c r="DC209" s="15"/>
      <c r="DD209" s="15"/>
      <c r="DE209" s="15"/>
      <c r="DF209" s="15"/>
      <c r="DG209" s="15"/>
      <c r="DH209" s="15"/>
      <c r="DI209" s="15"/>
      <c r="DJ209" s="15"/>
      <c r="DK209" s="15"/>
      <c r="DL209" s="15"/>
      <c r="DM209" s="15"/>
      <c r="DN209" s="15"/>
      <c r="DO209" s="15"/>
      <c r="DP209" s="15"/>
      <c r="DQ209" s="10"/>
      <c r="DR209" s="10"/>
      <c r="DS209" s="10"/>
      <c r="DT209" s="10"/>
      <c r="DU209" s="10"/>
      <c r="DV209" s="10"/>
      <c r="DW209" s="10"/>
      <c r="DX209" s="10"/>
      <c r="DY209" s="10"/>
      <c r="DZ209" s="10"/>
      <c r="EA209" s="10"/>
      <c r="EB209" s="15"/>
      <c r="EC209" s="15"/>
      <c r="ED209" s="15"/>
      <c r="EE209" s="15"/>
      <c r="EF209" s="15"/>
      <c r="EG209" s="15"/>
      <c r="EH209" s="15"/>
      <c r="EI209" s="15"/>
      <c r="EJ209" s="15"/>
      <c r="EK209" s="15"/>
      <c r="EL209" s="15"/>
      <c r="EM209" s="15"/>
      <c r="EN209" s="15"/>
      <c r="EO209" s="15"/>
      <c r="EP209" s="15"/>
      <c r="EQ209" s="15"/>
      <c r="ER209" s="15"/>
      <c r="ES209" s="15"/>
      <c r="ET209" s="15"/>
      <c r="EU209" s="15"/>
      <c r="EV209" s="15"/>
      <c r="EW209" s="15"/>
      <c r="EX209" s="15"/>
      <c r="EY209" s="15"/>
      <c r="EZ209" s="15"/>
      <c r="FA209" s="15"/>
      <c r="FB209" s="15"/>
      <c r="FC209" s="15"/>
      <c r="FD209" s="15"/>
      <c r="FE209" s="15"/>
      <c r="FF209" s="15"/>
      <c r="FG209" s="15"/>
      <c r="FH209" s="15"/>
      <c r="FI209" s="15"/>
      <c r="FJ209" s="15"/>
      <c r="FK209" s="15"/>
      <c r="FL209" s="15"/>
      <c r="FM209" s="15"/>
      <c r="FN209" s="15"/>
      <c r="FO209" s="15"/>
    </row>
    <row r="210" spans="2:171" s="2" customFormat="1" ht="15" customHeight="1">
      <c r="B210" s="8" t="s">
        <v>180</v>
      </c>
      <c r="C210" s="2">
        <f>(22+57/60+37/3600)</f>
        <v>22.960277777777776</v>
      </c>
      <c r="D210" s="2">
        <f>-29-37.6/60</f>
        <v>-29.626666666666665</v>
      </c>
      <c r="E210" s="17">
        <f t="shared" si="13"/>
        <v>15.298178779251657</v>
      </c>
      <c r="F210" s="17">
        <f t="shared" si="29"/>
        <v>-29.488819208185099</v>
      </c>
      <c r="G210" s="17">
        <f t="shared" si="5"/>
        <v>-14.072369883828495</v>
      </c>
      <c r="H210" s="17">
        <f t="shared" si="6"/>
        <v>4.2833657197078132</v>
      </c>
      <c r="I210" s="19">
        <f t="shared" si="7"/>
        <v>15.298660389933758</v>
      </c>
      <c r="J210" s="19">
        <f t="shared" si="8"/>
        <v>-29.489852811592229</v>
      </c>
      <c r="L210" s="20"/>
      <c r="N210" s="15"/>
      <c r="O210" s="24" t="s">
        <v>175</v>
      </c>
      <c r="P210" s="15">
        <v>0</v>
      </c>
      <c r="Q210" s="15"/>
      <c r="R210" s="15"/>
      <c r="S210" s="15"/>
      <c r="T210" s="15"/>
      <c r="U210" s="15"/>
      <c r="V210" s="15"/>
      <c r="W210" s="15"/>
      <c r="X210" s="15"/>
      <c r="Y210" s="15">
        <f t="shared" si="20"/>
        <v>254.67133078193729</v>
      </c>
      <c r="Z210" s="15">
        <f t="shared" si="21"/>
        <v>105.32866921806271</v>
      </c>
      <c r="AA210" s="15">
        <f t="shared" si="22"/>
        <v>-17.850973269978638</v>
      </c>
      <c r="AB210" s="15">
        <f t="shared" si="23"/>
        <v>1</v>
      </c>
      <c r="AC210" s="15">
        <f t="shared" si="14"/>
        <v>0.20805848928336881</v>
      </c>
      <c r="AD210" s="15">
        <f t="shared" si="24"/>
        <v>0.20805848928336881</v>
      </c>
      <c r="AE210" s="15">
        <f t="shared" si="25"/>
        <v>-0.33392583910881113</v>
      </c>
      <c r="AF210" s="15">
        <f t="shared" si="26"/>
        <v>-0.12586734982544232</v>
      </c>
      <c r="AG210" s="15">
        <f t="shared" si="27"/>
        <v>84.274821780029484</v>
      </c>
      <c r="AH210" s="15">
        <f t="shared" si="28"/>
        <v>95.725178219970516</v>
      </c>
      <c r="AI210" s="15">
        <f t="shared" si="15"/>
        <v>-55.050973269978641</v>
      </c>
      <c r="AJ210" s="21">
        <f t="shared" si="16"/>
        <v>-22.691242746055615</v>
      </c>
      <c r="AK210" s="21">
        <f t="shared" si="17"/>
        <v>-22.691242746055615</v>
      </c>
      <c r="AL210" s="8" t="s">
        <v>175</v>
      </c>
      <c r="AM210" s="21">
        <f t="shared" si="18"/>
        <v>95.725178219970516</v>
      </c>
      <c r="AN210" s="21">
        <f t="shared" si="19"/>
        <v>-22.691242746055615</v>
      </c>
      <c r="AO210" s="21"/>
      <c r="AP210" s="21"/>
      <c r="AQ210" s="21"/>
      <c r="AR210" s="21"/>
      <c r="AS210" s="15"/>
      <c r="AT210" s="21"/>
      <c r="AU210" s="22"/>
      <c r="AV210" s="21"/>
      <c r="AW210" s="15"/>
      <c r="AX210" s="21"/>
      <c r="AY210" s="15"/>
      <c r="AZ210" s="15"/>
      <c r="BA210" s="15"/>
      <c r="BB210" s="15"/>
      <c r="BC210" s="15"/>
      <c r="BD210" s="19"/>
      <c r="BF210" s="19"/>
      <c r="BH210" s="19"/>
      <c r="BI210" s="19"/>
      <c r="BJ210" s="19"/>
      <c r="BK210" s="19"/>
      <c r="BL210" s="19"/>
      <c r="BN210" s="19"/>
      <c r="BO210" s="19"/>
      <c r="BP210" s="19"/>
      <c r="BQ210" s="19"/>
      <c r="BX210" s="19"/>
      <c r="BZ210" s="19"/>
      <c r="CA210" s="19"/>
      <c r="CB210" s="19"/>
      <c r="CC210" s="19"/>
      <c r="CD210" s="19"/>
      <c r="CE210" s="19"/>
      <c r="CF210" s="19"/>
      <c r="CG210" s="19"/>
      <c r="CH210" s="19"/>
      <c r="CI210" s="19"/>
      <c r="CJ210" s="19"/>
      <c r="CL210" s="19"/>
      <c r="CM210" s="19"/>
      <c r="CN210" s="19"/>
      <c r="CO210" s="19"/>
      <c r="CP210" s="19"/>
      <c r="CR210" s="19"/>
      <c r="CS210" s="19"/>
      <c r="CT210" s="19"/>
      <c r="CU210" s="19"/>
      <c r="CV210" s="19"/>
      <c r="CW210" s="15"/>
      <c r="CX210" s="15"/>
      <c r="CY210" s="21"/>
      <c r="CZ210" s="15"/>
      <c r="DA210" s="15"/>
      <c r="DB210" s="15"/>
      <c r="DC210" s="15"/>
      <c r="DD210" s="15"/>
      <c r="DE210" s="15"/>
      <c r="DF210" s="15"/>
      <c r="DG210" s="15"/>
      <c r="DH210" s="15"/>
      <c r="DI210" s="15"/>
      <c r="DJ210" s="15"/>
      <c r="DK210" s="15"/>
      <c r="DL210" s="15"/>
      <c r="DM210" s="15"/>
      <c r="DN210" s="15"/>
      <c r="DO210" s="15"/>
      <c r="DP210" s="15"/>
      <c r="DQ210" s="10"/>
      <c r="DR210" s="10"/>
      <c r="DS210" s="10"/>
      <c r="DT210" s="10"/>
      <c r="DU210" s="10"/>
      <c r="DV210" s="10"/>
      <c r="DW210" s="10"/>
      <c r="DX210" s="10"/>
      <c r="DY210" s="10"/>
      <c r="DZ210" s="10"/>
      <c r="EA210" s="10"/>
      <c r="EB210" s="15"/>
      <c r="EC210" s="15"/>
      <c r="ED210" s="15"/>
      <c r="EE210" s="15"/>
      <c r="EF210" s="15"/>
      <c r="EG210" s="15"/>
      <c r="EH210" s="15"/>
      <c r="EI210" s="15"/>
      <c r="EJ210" s="15"/>
      <c r="EK210" s="15"/>
      <c r="EL210" s="15"/>
      <c r="EM210" s="15"/>
      <c r="EN210" s="15"/>
      <c r="EO210" s="15"/>
      <c r="EP210" s="15"/>
      <c r="EQ210" s="15"/>
      <c r="ER210" s="15"/>
      <c r="ES210" s="15"/>
      <c r="ET210" s="15"/>
      <c r="EU210" s="15"/>
      <c r="EV210" s="15"/>
      <c r="EW210" s="15"/>
      <c r="EX210" s="15"/>
      <c r="EY210" s="15"/>
      <c r="EZ210" s="15"/>
      <c r="FA210" s="15"/>
      <c r="FB210" s="15"/>
      <c r="FC210" s="15"/>
      <c r="FD210" s="15"/>
      <c r="FE210" s="15"/>
      <c r="FF210" s="15"/>
      <c r="FG210" s="15"/>
      <c r="FH210" s="15"/>
      <c r="FI210" s="15"/>
      <c r="FJ210" s="15"/>
      <c r="FK210" s="15"/>
      <c r="FL210" s="15"/>
      <c r="FM210" s="15"/>
      <c r="FN210" s="15"/>
      <c r="FO210" s="15"/>
    </row>
    <row r="211" spans="2:171" s="2" customFormat="1" ht="15" customHeight="1">
      <c r="B211" s="8" t="s">
        <v>181</v>
      </c>
      <c r="C211" s="2">
        <f>(12+31/60+10/3600)</f>
        <v>12.519444444444446</v>
      </c>
      <c r="D211" s="2">
        <f>-57-6.4/60</f>
        <v>-57.106666666666669</v>
      </c>
      <c r="E211" s="17">
        <f t="shared" si="13"/>
        <v>171.92689655593745</v>
      </c>
      <c r="F211" s="17">
        <f t="shared" si="29"/>
        <v>-57.248462063827077</v>
      </c>
      <c r="G211" s="17">
        <f t="shared" si="5"/>
        <v>-14.072369883828495</v>
      </c>
      <c r="H211" s="17">
        <f t="shared" si="6"/>
        <v>4.2833657197078132</v>
      </c>
      <c r="I211" s="19">
        <f t="shared" si="7"/>
        <v>171.923870856317</v>
      </c>
      <c r="J211" s="19">
        <f t="shared" si="8"/>
        <v>-57.246663504146163</v>
      </c>
      <c r="L211" s="20"/>
      <c r="N211" s="15"/>
      <c r="O211" s="24" t="s">
        <v>176</v>
      </c>
      <c r="P211" s="15">
        <v>0</v>
      </c>
      <c r="Q211" s="15"/>
      <c r="R211" s="15"/>
      <c r="S211" s="15"/>
      <c r="T211" s="15"/>
      <c r="U211" s="15"/>
      <c r="V211" s="15"/>
      <c r="W211" s="15"/>
      <c r="X211" s="15"/>
      <c r="Y211" s="15">
        <f t="shared" si="20"/>
        <v>99.585028481654092</v>
      </c>
      <c r="Z211" s="15">
        <f t="shared" si="21"/>
        <v>99.585028481654092</v>
      </c>
      <c r="AA211" s="15">
        <f t="shared" si="22"/>
        <v>61.609580674344926</v>
      </c>
      <c r="AB211" s="15">
        <f t="shared" si="23"/>
        <v>1</v>
      </c>
      <c r="AC211" s="15">
        <f t="shared" si="14"/>
        <v>0.12817822425270162</v>
      </c>
      <c r="AD211" s="15">
        <f t="shared" si="24"/>
        <v>0.12817822425270162</v>
      </c>
      <c r="AE211" s="15">
        <f t="shared" si="25"/>
        <v>1.8763959861053441</v>
      </c>
      <c r="AF211" s="15">
        <f t="shared" si="26"/>
        <v>2.0045742103580455</v>
      </c>
      <c r="AG211" s="15">
        <f t="shared" si="27"/>
        <v>32.05851956115427</v>
      </c>
      <c r="AH211" s="15">
        <f t="shared" si="28"/>
        <v>327.9414804388457</v>
      </c>
      <c r="AI211" s="15">
        <f t="shared" si="15"/>
        <v>24.409580674344923</v>
      </c>
      <c r="AJ211" s="21">
        <f t="shared" si="16"/>
        <v>27.957713581853248</v>
      </c>
      <c r="AK211" s="21">
        <f t="shared" si="17"/>
        <v>27.957713581853248</v>
      </c>
      <c r="AL211" s="8" t="s">
        <v>176</v>
      </c>
      <c r="AM211" s="21">
        <f t="shared" si="18"/>
        <v>327.9414804388457</v>
      </c>
      <c r="AN211" s="21">
        <f t="shared" si="19"/>
        <v>27.957713581853248</v>
      </c>
      <c r="AO211" s="21"/>
      <c r="AP211" s="21"/>
      <c r="AQ211" s="21"/>
      <c r="AR211" s="21"/>
      <c r="AS211" s="15"/>
      <c r="AT211" s="21"/>
      <c r="AU211" s="22"/>
      <c r="AV211" s="21"/>
      <c r="AW211" s="15"/>
      <c r="AX211" s="21"/>
      <c r="AY211" s="15"/>
      <c r="AZ211" s="15"/>
      <c r="BA211" s="15"/>
      <c r="BB211" s="15"/>
      <c r="BC211" s="15"/>
      <c r="BD211" s="19"/>
      <c r="BF211" s="19"/>
      <c r="BH211" s="19"/>
      <c r="BI211" s="19"/>
      <c r="BJ211" s="19"/>
      <c r="BK211" s="19"/>
      <c r="BL211" s="19"/>
      <c r="BN211" s="19"/>
      <c r="BO211" s="19"/>
      <c r="BP211" s="19"/>
      <c r="BQ211" s="19"/>
      <c r="BX211" s="19"/>
      <c r="BZ211" s="19"/>
      <c r="CA211" s="19"/>
      <c r="CB211" s="19"/>
      <c r="CC211" s="19"/>
      <c r="CD211" s="19"/>
      <c r="CE211" s="19"/>
      <c r="CF211" s="19"/>
      <c r="CG211" s="19"/>
      <c r="CH211" s="19"/>
      <c r="CI211" s="19"/>
      <c r="CJ211" s="19"/>
      <c r="CL211" s="19"/>
      <c r="CM211" s="19"/>
      <c r="CN211" s="19"/>
      <c r="CO211" s="19"/>
      <c r="CP211" s="19"/>
      <c r="CR211" s="19"/>
      <c r="CS211" s="19"/>
      <c r="CT211" s="19"/>
      <c r="CU211" s="19"/>
      <c r="CV211" s="19"/>
      <c r="CW211" s="15"/>
      <c r="CX211" s="15"/>
      <c r="CY211" s="21"/>
      <c r="CZ211" s="15"/>
      <c r="DA211" s="15"/>
      <c r="DB211" s="15"/>
      <c r="DC211" s="15"/>
      <c r="DD211" s="15"/>
      <c r="DE211" s="15"/>
      <c r="DF211" s="15"/>
      <c r="DG211" s="15"/>
      <c r="DH211" s="15"/>
      <c r="DI211" s="15"/>
      <c r="DJ211" s="15"/>
      <c r="DK211" s="15"/>
      <c r="DL211" s="15"/>
      <c r="DM211" s="15"/>
      <c r="DN211" s="15"/>
      <c r="DO211" s="15"/>
      <c r="DP211" s="15"/>
      <c r="DQ211" s="10"/>
      <c r="DR211" s="10"/>
      <c r="DS211" s="10"/>
      <c r="DT211" s="10"/>
      <c r="DU211" s="10"/>
      <c r="DV211" s="10"/>
      <c r="DW211" s="10"/>
      <c r="DX211" s="10"/>
      <c r="DY211" s="10"/>
      <c r="DZ211" s="10"/>
      <c r="EA211" s="10"/>
      <c r="EB211" s="15"/>
      <c r="EC211" s="15"/>
      <c r="ED211" s="15"/>
      <c r="EE211" s="15"/>
      <c r="EF211" s="15"/>
      <c r="EG211" s="15"/>
      <c r="EH211" s="15"/>
      <c r="EI211" s="15"/>
      <c r="EJ211" s="15"/>
      <c r="EK211" s="15"/>
      <c r="EL211" s="15"/>
      <c r="EM211" s="15"/>
      <c r="EN211" s="15"/>
      <c r="EO211" s="15"/>
      <c r="EP211" s="15"/>
      <c r="EQ211" s="15"/>
      <c r="ER211" s="15"/>
      <c r="ES211" s="15"/>
      <c r="ET211" s="15"/>
      <c r="EU211" s="15"/>
      <c r="EV211" s="15"/>
      <c r="EW211" s="15"/>
      <c r="EX211" s="15"/>
      <c r="EY211" s="15"/>
      <c r="EZ211" s="15"/>
      <c r="FA211" s="15"/>
      <c r="FB211" s="15"/>
      <c r="FC211" s="15"/>
      <c r="FD211" s="15"/>
      <c r="FE211" s="15"/>
      <c r="FF211" s="15"/>
      <c r="FG211" s="15"/>
      <c r="FH211" s="15"/>
      <c r="FI211" s="15"/>
      <c r="FJ211" s="15"/>
      <c r="FK211" s="15"/>
      <c r="FL211" s="15"/>
      <c r="FM211" s="15"/>
      <c r="FN211" s="15"/>
      <c r="FO211" s="15"/>
    </row>
    <row r="212" spans="2:171" s="2" customFormat="1" ht="15" customHeight="1">
      <c r="B212" s="8" t="s">
        <v>182</v>
      </c>
      <c r="C212" s="2">
        <f>(12+15/60+48/3600)</f>
        <v>12.263333333333334</v>
      </c>
      <c r="D212" s="2">
        <f>-17-32.3/60</f>
        <v>-17.538333333333334</v>
      </c>
      <c r="E212" s="17">
        <f t="shared" si="13"/>
        <v>175.73020293354696</v>
      </c>
      <c r="F212" s="17">
        <f t="shared" si="29"/>
        <v>-17.681110078268485</v>
      </c>
      <c r="G212" s="17">
        <f t="shared" si="5"/>
        <v>-14.072369883828495</v>
      </c>
      <c r="H212" s="17">
        <f t="shared" si="6"/>
        <v>4.2833657197078132</v>
      </c>
      <c r="I212" s="19">
        <f t="shared" si="7"/>
        <v>175.73140330604656</v>
      </c>
      <c r="J212" s="19">
        <f t="shared" si="8"/>
        <v>-17.679306050602445</v>
      </c>
      <c r="L212" s="20"/>
      <c r="N212" s="15"/>
      <c r="O212" s="24" t="s">
        <v>177</v>
      </c>
      <c r="P212" s="15">
        <v>0</v>
      </c>
      <c r="Q212" s="15"/>
      <c r="R212" s="15"/>
      <c r="S212" s="15"/>
      <c r="T212" s="15"/>
      <c r="U212" s="15"/>
      <c r="V212" s="15"/>
      <c r="W212" s="15"/>
      <c r="X212" s="15"/>
      <c r="Y212" s="15">
        <f t="shared" si="20"/>
        <v>183.97835113566282</v>
      </c>
      <c r="Z212" s="15">
        <f t="shared" si="21"/>
        <v>176.02164886433718</v>
      </c>
      <c r="AA212" s="15">
        <f t="shared" si="22"/>
        <v>28.627520298940443</v>
      </c>
      <c r="AB212" s="15">
        <f t="shared" si="23"/>
        <v>1</v>
      </c>
      <c r="AC212" s="15">
        <f t="shared" si="14"/>
        <v>10.914056530691285</v>
      </c>
      <c r="AD212" s="15">
        <f t="shared" si="24"/>
        <v>10.914056530691285</v>
      </c>
      <c r="AE212" s="15">
        <f t="shared" si="25"/>
        <v>7.8674624014374617</v>
      </c>
      <c r="AF212" s="15">
        <f t="shared" si="26"/>
        <v>18.781518932128748</v>
      </c>
      <c r="AG212" s="15">
        <f t="shared" si="27"/>
        <v>3.8242320372041987</v>
      </c>
      <c r="AH212" s="15">
        <f t="shared" si="28"/>
        <v>3.8242320372041987</v>
      </c>
      <c r="AI212" s="15">
        <f t="shared" si="15"/>
        <v>-8.5724797010595601</v>
      </c>
      <c r="AJ212" s="21">
        <f t="shared" si="16"/>
        <v>-24.066718068909022</v>
      </c>
      <c r="AK212" s="21">
        <f t="shared" si="17"/>
        <v>-24.066718068909022</v>
      </c>
      <c r="AL212" s="8" t="s">
        <v>177</v>
      </c>
      <c r="AM212" s="21">
        <f t="shared" si="18"/>
        <v>3.8242320372041987</v>
      </c>
      <c r="AN212" s="21">
        <f t="shared" si="19"/>
        <v>-24.066718068909022</v>
      </c>
      <c r="AO212" s="21"/>
      <c r="AP212" s="21"/>
      <c r="AQ212" s="21"/>
      <c r="AR212" s="21"/>
      <c r="AS212" s="15"/>
      <c r="AT212" s="21"/>
      <c r="AU212" s="22"/>
      <c r="AV212" s="21"/>
      <c r="AW212" s="15"/>
      <c r="AX212" s="21"/>
      <c r="AY212" s="15"/>
      <c r="AZ212" s="15"/>
      <c r="BA212" s="15"/>
      <c r="BB212" s="15"/>
      <c r="BC212" s="15"/>
      <c r="BD212" s="19"/>
      <c r="BF212" s="19"/>
      <c r="BH212" s="19"/>
      <c r="BI212" s="19"/>
      <c r="BJ212" s="19"/>
      <c r="BK212" s="19"/>
      <c r="BL212" s="19"/>
      <c r="BN212" s="19"/>
      <c r="BO212" s="19"/>
      <c r="BP212" s="19"/>
      <c r="BQ212" s="19"/>
      <c r="BX212" s="19"/>
      <c r="BZ212" s="19"/>
      <c r="CA212" s="19"/>
      <c r="CB212" s="19"/>
      <c r="CC212" s="19"/>
      <c r="CD212" s="19"/>
      <c r="CE212" s="19"/>
      <c r="CF212" s="19"/>
      <c r="CG212" s="19"/>
      <c r="CH212" s="19"/>
      <c r="CI212" s="19"/>
      <c r="CJ212" s="19"/>
      <c r="CL212" s="19"/>
      <c r="CM212" s="19"/>
      <c r="CN212" s="19"/>
      <c r="CO212" s="19"/>
      <c r="CP212" s="19"/>
      <c r="CR212" s="19"/>
      <c r="CS212" s="19"/>
      <c r="CT212" s="19"/>
      <c r="CU212" s="19"/>
      <c r="CV212" s="19"/>
      <c r="CW212" s="15"/>
      <c r="CX212" s="15"/>
      <c r="CY212" s="21"/>
      <c r="CZ212" s="15"/>
      <c r="DA212" s="15"/>
      <c r="DB212" s="15"/>
      <c r="DC212" s="15"/>
      <c r="DD212" s="15"/>
      <c r="DE212" s="15"/>
      <c r="DF212" s="15"/>
      <c r="DG212" s="15"/>
      <c r="DH212" s="15"/>
      <c r="DI212" s="15"/>
      <c r="DJ212" s="15"/>
      <c r="DK212" s="15"/>
      <c r="DL212" s="15"/>
      <c r="DM212" s="15"/>
      <c r="DN212" s="15"/>
      <c r="DO212" s="15"/>
      <c r="DP212" s="15"/>
      <c r="DQ212" s="10"/>
      <c r="DR212" s="10"/>
      <c r="DS212" s="10"/>
      <c r="DT212" s="10"/>
      <c r="DU212" s="10"/>
      <c r="DV212" s="10"/>
      <c r="DW212" s="10"/>
      <c r="DX212" s="10"/>
      <c r="DY212" s="10"/>
      <c r="DZ212" s="10"/>
      <c r="EA212" s="10"/>
      <c r="EB212" s="15"/>
      <c r="EC212" s="15"/>
      <c r="ED212" s="15"/>
      <c r="EE212" s="15"/>
      <c r="EF212" s="15"/>
      <c r="EG212" s="15"/>
      <c r="EH212" s="15"/>
      <c r="EI212" s="15"/>
      <c r="EJ212" s="15"/>
      <c r="EK212" s="15"/>
      <c r="EL212" s="15"/>
      <c r="EM212" s="15"/>
      <c r="EN212" s="15"/>
      <c r="EO212" s="15"/>
      <c r="EP212" s="15"/>
      <c r="EQ212" s="15"/>
      <c r="ER212" s="15"/>
      <c r="ES212" s="15"/>
      <c r="ET212" s="15"/>
      <c r="EU212" s="15"/>
      <c r="EV212" s="15"/>
      <c r="EW212" s="15"/>
      <c r="EX212" s="15"/>
      <c r="EY212" s="15"/>
      <c r="EZ212" s="15"/>
      <c r="FA212" s="15"/>
      <c r="FB212" s="15"/>
      <c r="FC212" s="15"/>
      <c r="FD212" s="15"/>
      <c r="FE212" s="15"/>
      <c r="FF212" s="15"/>
      <c r="FG212" s="15"/>
      <c r="FH212" s="15"/>
      <c r="FI212" s="15"/>
      <c r="FJ212" s="15"/>
      <c r="FK212" s="15"/>
      <c r="FL212" s="15"/>
      <c r="FM212" s="15"/>
      <c r="FN212" s="15"/>
      <c r="FO212" s="15"/>
    </row>
    <row r="213" spans="2:171" s="2" customFormat="1" ht="15" customHeight="1">
      <c r="B213" s="8" t="s">
        <v>183</v>
      </c>
      <c r="C213" s="2">
        <f>(14+3/60+48/3600)</f>
        <v>14.063333333333334</v>
      </c>
      <c r="D213" s="2">
        <f>-60-22/60</f>
        <v>-60.366666666666667</v>
      </c>
      <c r="E213" s="17">
        <f t="shared" si="13"/>
        <v>148.78173083704357</v>
      </c>
      <c r="F213" s="17">
        <f t="shared" si="29"/>
        <v>-60.489405910534337</v>
      </c>
      <c r="G213" s="17">
        <f t="shared" ref="G213:G237" si="30">-17.3*SIN(RADIANS(125-0.05295*($L$4-2451545)))-1.4*SIN(RADIANS(200+1.97129*($L$4-2451545)))</f>
        <v>-14.072369883828495</v>
      </c>
      <c r="H213" s="17">
        <f t="shared" ref="H213:H237" si="31">9.4*COS(RADIANS(125-0.05295*($L$4-2451545)))+0.7*COS(RADIANS(200+1.97129*($L$4-2451545)))</f>
        <v>4.2833657197078132</v>
      </c>
      <c r="I213" s="19">
        <f t="shared" ref="I213:I237" si="32">E213+(0.9175+0.3978*SIN(RADIANS(C213*15)*TAN(RADIANS(D213)))*G213-COS(RADIANS(C213*15))*TAN(RADIANS(D213))*H213)/3600</f>
        <v>148.78048423250846</v>
      </c>
      <c r="J213" s="19">
        <f t="shared" ref="J213:J237" si="33">F213+(0.3978*COS(RADIANS(C213*15))*G213+SIN(RADIANS(C213))*H213)/3600</f>
        <v>-60.487783199278233</v>
      </c>
      <c r="L213" s="20"/>
      <c r="N213" s="15"/>
      <c r="O213" s="24" t="s">
        <v>178</v>
      </c>
      <c r="P213" s="15">
        <v>0</v>
      </c>
      <c r="Q213" s="15"/>
      <c r="R213" s="15"/>
      <c r="S213" s="15"/>
      <c r="T213" s="15"/>
      <c r="U213" s="15"/>
      <c r="V213" s="15"/>
      <c r="W213" s="15"/>
      <c r="X213" s="15"/>
      <c r="Y213" s="15">
        <f t="shared" si="20"/>
        <v>356.36546098356138</v>
      </c>
      <c r="Z213" s="15">
        <f t="shared" si="21"/>
        <v>3.6345390164386231</v>
      </c>
      <c r="AA213" s="15">
        <f t="shared" si="22"/>
        <v>51.486579258470449</v>
      </c>
      <c r="AB213" s="15">
        <f t="shared" si="23"/>
        <v>0</v>
      </c>
      <c r="AC213" s="15">
        <f t="shared" si="14"/>
        <v>11.949662411694966</v>
      </c>
      <c r="AD213" s="15">
        <f t="shared" si="24"/>
        <v>-11.949662411694966</v>
      </c>
      <c r="AE213" s="15">
        <f t="shared" si="25"/>
        <v>19.822143124752245</v>
      </c>
      <c r="AF213" s="15">
        <f t="shared" si="26"/>
        <v>7.8724807130572785</v>
      </c>
      <c r="AG213" s="15">
        <f t="shared" si="27"/>
        <v>9.0608156291507669</v>
      </c>
      <c r="AH213" s="15">
        <f t="shared" si="28"/>
        <v>9.0608156291507669</v>
      </c>
      <c r="AI213" s="15">
        <f t="shared" si="15"/>
        <v>14.286579258470447</v>
      </c>
      <c r="AJ213" s="21">
        <f t="shared" si="16"/>
        <v>75.483605831390122</v>
      </c>
      <c r="AK213" s="21">
        <f t="shared" si="17"/>
        <v>75.483605831390122</v>
      </c>
      <c r="AL213" s="8" t="s">
        <v>178</v>
      </c>
      <c r="AM213" s="21">
        <f t="shared" si="18"/>
        <v>9.0608156291507669</v>
      </c>
      <c r="AN213" s="21">
        <f t="shared" si="19"/>
        <v>75.483605831390122</v>
      </c>
      <c r="AO213" s="21"/>
      <c r="AP213" s="21"/>
      <c r="AQ213" s="21"/>
      <c r="AR213" s="21"/>
      <c r="AS213" s="15"/>
      <c r="AT213" s="21"/>
      <c r="AU213" s="22"/>
      <c r="AV213" s="21"/>
      <c r="AW213" s="15"/>
      <c r="AX213" s="21"/>
      <c r="AY213" s="15"/>
      <c r="AZ213" s="15"/>
      <c r="BA213" s="15"/>
      <c r="BB213" s="15"/>
      <c r="BC213" s="15"/>
      <c r="BD213" s="19"/>
      <c r="BF213" s="19"/>
      <c r="BH213" s="19"/>
      <c r="BI213" s="19"/>
      <c r="BJ213" s="19"/>
      <c r="BK213" s="19"/>
      <c r="BL213" s="19"/>
      <c r="BN213" s="19"/>
      <c r="BO213" s="19"/>
      <c r="BP213" s="19"/>
      <c r="BQ213" s="19"/>
      <c r="BX213" s="19"/>
      <c r="BZ213" s="19"/>
      <c r="CA213" s="19"/>
      <c r="CB213" s="19"/>
      <c r="CC213" s="19"/>
      <c r="CD213" s="19"/>
      <c r="CE213" s="19"/>
      <c r="CF213" s="19"/>
      <c r="CG213" s="19"/>
      <c r="CH213" s="19"/>
      <c r="CI213" s="19"/>
      <c r="CJ213" s="19"/>
      <c r="CL213" s="19"/>
      <c r="CM213" s="19"/>
      <c r="CN213" s="19"/>
      <c r="CO213" s="19"/>
      <c r="CP213" s="19"/>
      <c r="CR213" s="19"/>
      <c r="CS213" s="19"/>
      <c r="CT213" s="19"/>
      <c r="CU213" s="19"/>
      <c r="CV213" s="19"/>
      <c r="CW213" s="15"/>
      <c r="CX213" s="15"/>
      <c r="CY213" s="21"/>
      <c r="CZ213" s="15"/>
      <c r="DA213" s="15"/>
      <c r="DB213" s="15"/>
      <c r="DC213" s="15"/>
      <c r="DD213" s="10"/>
      <c r="DE213" s="10"/>
      <c r="DF213" s="10"/>
      <c r="DG213" s="9"/>
      <c r="DH213" s="10"/>
      <c r="DI213" s="10"/>
      <c r="DJ213" s="10"/>
      <c r="DK213" s="10"/>
      <c r="DL213" s="10"/>
      <c r="DM213" s="10"/>
      <c r="DN213" s="10"/>
      <c r="DO213" s="10"/>
      <c r="DP213" s="10"/>
      <c r="DQ213" s="10"/>
      <c r="DR213" s="10"/>
      <c r="DS213" s="10"/>
      <c r="DT213" s="10"/>
      <c r="DU213" s="10"/>
      <c r="DV213" s="10"/>
      <c r="DW213" s="10"/>
      <c r="DX213" s="10"/>
      <c r="DY213" s="10"/>
      <c r="DZ213" s="10"/>
      <c r="EA213" s="10"/>
      <c r="EB213" s="15"/>
      <c r="EC213" s="15"/>
      <c r="ED213" s="15"/>
      <c r="EE213" s="15"/>
      <c r="EF213" s="15"/>
      <c r="EG213" s="15"/>
      <c r="EH213" s="15"/>
      <c r="EI213" s="15"/>
      <c r="EJ213" s="15"/>
      <c r="EK213" s="15"/>
      <c r="EL213" s="15"/>
      <c r="EM213" s="15"/>
      <c r="EN213" s="15"/>
      <c r="EO213" s="15"/>
      <c r="EP213" s="15"/>
      <c r="EQ213" s="15"/>
      <c r="ER213" s="15"/>
      <c r="ES213" s="15"/>
      <c r="ET213" s="15"/>
      <c r="EU213" s="15"/>
      <c r="EV213" s="15"/>
      <c r="EW213" s="15"/>
      <c r="EX213" s="15"/>
      <c r="EY213" s="15"/>
      <c r="EZ213" s="15"/>
      <c r="FA213" s="15"/>
      <c r="FB213" s="15"/>
      <c r="FC213" s="15"/>
      <c r="FD213" s="15"/>
      <c r="FE213" s="15"/>
      <c r="FF213" s="15"/>
      <c r="FG213" s="15"/>
      <c r="FH213" s="15"/>
      <c r="FI213" s="15"/>
      <c r="FJ213" s="15"/>
      <c r="FK213" s="15"/>
      <c r="FL213" s="15"/>
      <c r="FM213" s="15"/>
      <c r="FN213" s="15"/>
      <c r="FO213" s="15"/>
    </row>
    <row r="214" spans="2:171" s="2" customFormat="1" ht="15" customHeight="1">
      <c r="B214" s="8" t="s">
        <v>184</v>
      </c>
      <c r="C214" s="2">
        <f>(2+7/60+10/3600)</f>
        <v>2.1194444444444445</v>
      </c>
      <c r="D214" s="2">
        <f>23+27.8/60</f>
        <v>23.463333333333335</v>
      </c>
      <c r="E214" s="17">
        <f t="shared" si="13"/>
        <v>327.87663184758679</v>
      </c>
      <c r="F214" s="17">
        <f t="shared" si="29"/>
        <v>23.584978148938195</v>
      </c>
      <c r="G214" s="17">
        <f t="shared" si="30"/>
        <v>-14.072369883828495</v>
      </c>
      <c r="H214" s="17">
        <f t="shared" si="31"/>
        <v>4.2833657197078132</v>
      </c>
      <c r="I214" s="19">
        <f t="shared" si="32"/>
        <v>327.8760768479504</v>
      </c>
      <c r="J214" s="19">
        <f t="shared" si="33"/>
        <v>23.583700452367321</v>
      </c>
      <c r="L214" s="20"/>
      <c r="N214" s="15"/>
      <c r="O214" s="24" t="s">
        <v>179</v>
      </c>
      <c r="P214" s="15">
        <v>0</v>
      </c>
      <c r="Q214" s="15"/>
      <c r="R214" s="15"/>
      <c r="S214" s="15"/>
      <c r="T214" s="15"/>
      <c r="U214" s="15"/>
      <c r="V214" s="15"/>
      <c r="W214" s="15"/>
      <c r="X214" s="15"/>
      <c r="Y214" s="15">
        <f t="shared" si="20"/>
        <v>299.50956789725342</v>
      </c>
      <c r="Z214" s="15">
        <f t="shared" si="21"/>
        <v>60.490432102746581</v>
      </c>
      <c r="AA214" s="15">
        <f t="shared" si="22"/>
        <v>9.9928581470713986</v>
      </c>
      <c r="AB214" s="15">
        <f t="shared" si="23"/>
        <v>0</v>
      </c>
      <c r="AC214" s="15">
        <f t="shared" si="14"/>
        <v>0.42961225514439383</v>
      </c>
      <c r="AD214" s="15">
        <f t="shared" si="24"/>
        <v>-0.42961225514439383</v>
      </c>
      <c r="AE214" s="15">
        <f t="shared" si="25"/>
        <v>0.20246332750159279</v>
      </c>
      <c r="AF214" s="15">
        <f t="shared" si="26"/>
        <v>-0.22714892764280104</v>
      </c>
      <c r="AG214" s="15">
        <f t="shared" si="27"/>
        <v>79.744370981141486</v>
      </c>
      <c r="AH214" s="15">
        <f t="shared" si="28"/>
        <v>100.25562901885851</v>
      </c>
      <c r="AI214" s="15">
        <f t="shared" si="15"/>
        <v>-27.207141852928604</v>
      </c>
      <c r="AJ214" s="21">
        <f t="shared" si="16"/>
        <v>29.426526550526841</v>
      </c>
      <c r="AK214" s="21">
        <f t="shared" si="17"/>
        <v>29.426526550526841</v>
      </c>
      <c r="AL214" s="8" t="s">
        <v>179</v>
      </c>
      <c r="AM214" s="21">
        <f t="shared" si="18"/>
        <v>100.25562901885851</v>
      </c>
      <c r="AN214" s="21">
        <f t="shared" si="19"/>
        <v>29.426526550526841</v>
      </c>
      <c r="AO214" s="21"/>
      <c r="AP214" s="21"/>
      <c r="AQ214" s="21"/>
      <c r="AR214" s="21"/>
      <c r="AS214" s="15"/>
      <c r="AT214" s="21"/>
      <c r="AU214" s="22"/>
      <c r="AV214" s="21"/>
      <c r="AW214" s="15"/>
      <c r="AX214" s="21"/>
      <c r="AY214" s="15"/>
      <c r="AZ214" s="15"/>
      <c r="BA214" s="15"/>
      <c r="BB214" s="15"/>
      <c r="BC214" s="15"/>
      <c r="BD214" s="19"/>
      <c r="BF214" s="19"/>
      <c r="BH214" s="19"/>
      <c r="BI214" s="19"/>
      <c r="BJ214" s="19"/>
      <c r="BK214" s="19"/>
      <c r="BL214" s="19"/>
      <c r="BN214" s="19"/>
      <c r="BO214" s="19"/>
      <c r="BP214" s="19"/>
      <c r="BQ214" s="19"/>
      <c r="BX214" s="19"/>
      <c r="BZ214" s="19"/>
      <c r="CA214" s="19"/>
      <c r="CB214" s="19"/>
      <c r="CC214" s="19"/>
      <c r="CD214" s="19"/>
      <c r="CE214" s="19"/>
      <c r="CF214" s="19"/>
      <c r="CG214" s="19"/>
      <c r="CH214" s="19"/>
      <c r="CI214" s="19"/>
      <c r="CJ214" s="19"/>
      <c r="CL214" s="19"/>
      <c r="CM214" s="19"/>
      <c r="CN214" s="19"/>
      <c r="CO214" s="19"/>
      <c r="CP214" s="19"/>
      <c r="CR214" s="19"/>
      <c r="CS214" s="19"/>
      <c r="CT214" s="19"/>
      <c r="CU214" s="19"/>
      <c r="CV214" s="19"/>
      <c r="CW214" s="15"/>
      <c r="CX214" s="15"/>
      <c r="CY214" s="21"/>
      <c r="CZ214" s="15"/>
      <c r="DA214" s="15"/>
      <c r="DB214" s="15"/>
      <c r="DC214" s="15"/>
      <c r="DD214" s="10"/>
      <c r="DE214" s="10"/>
      <c r="DF214" s="10"/>
      <c r="DG214" s="9"/>
      <c r="DH214" s="10"/>
      <c r="DI214" s="10"/>
      <c r="DJ214" s="10"/>
      <c r="DK214" s="10"/>
      <c r="DL214" s="10"/>
      <c r="DM214" s="10"/>
      <c r="DN214" s="10"/>
      <c r="DO214" s="10"/>
      <c r="DP214" s="10"/>
      <c r="DQ214" s="10"/>
      <c r="DR214" s="10"/>
      <c r="DS214" s="10"/>
      <c r="DT214" s="10"/>
      <c r="DU214" s="10"/>
      <c r="DV214" s="10"/>
      <c r="DW214" s="10"/>
      <c r="DX214" s="10"/>
      <c r="DY214" s="10"/>
      <c r="DZ214" s="10"/>
      <c r="EA214" s="10"/>
      <c r="EB214" s="15"/>
      <c r="EC214" s="15"/>
      <c r="ED214" s="15"/>
      <c r="EE214" s="15"/>
      <c r="EF214" s="15"/>
      <c r="EG214" s="15"/>
      <c r="EH214" s="15"/>
      <c r="EI214" s="15"/>
      <c r="EJ214" s="15"/>
      <c r="EK214" s="15"/>
      <c r="EL214" s="15"/>
      <c r="EM214" s="15"/>
      <c r="EN214" s="15"/>
      <c r="EO214" s="15"/>
      <c r="EP214" s="15"/>
      <c r="EQ214" s="15"/>
      <c r="ER214" s="15"/>
      <c r="ES214" s="15"/>
      <c r="ET214" s="15"/>
      <c r="EU214" s="15"/>
      <c r="EV214" s="15"/>
      <c r="EW214" s="15"/>
      <c r="EX214" s="15"/>
      <c r="EY214" s="15"/>
      <c r="EZ214" s="15"/>
      <c r="FA214" s="15"/>
      <c r="FB214" s="15"/>
      <c r="FC214" s="15"/>
      <c r="FD214" s="15"/>
      <c r="FE214" s="15"/>
      <c r="FF214" s="15"/>
      <c r="FG214" s="15"/>
      <c r="FH214" s="15"/>
      <c r="FI214" s="15"/>
      <c r="FJ214" s="15"/>
      <c r="FK214" s="15"/>
      <c r="FL214" s="15"/>
      <c r="FM214" s="15"/>
      <c r="FN214" s="15"/>
      <c r="FO214" s="15"/>
    </row>
    <row r="215" spans="2:171" s="2" customFormat="1" ht="15" customHeight="1">
      <c r="B215" s="8" t="s">
        <v>185</v>
      </c>
      <c r="C215" s="2">
        <f>(18+24/60+7/3600)</f>
        <v>18.401944444444442</v>
      </c>
      <c r="D215" s="2">
        <f>-34-23/60</f>
        <v>-34.383333333333333</v>
      </c>
      <c r="E215" s="17">
        <f t="shared" si="13"/>
        <v>83.672344809662889</v>
      </c>
      <c r="F215" s="17">
        <f t="shared" si="29"/>
        <v>-34.368301110182848</v>
      </c>
      <c r="G215" s="17">
        <f t="shared" si="30"/>
        <v>-14.072369883828495</v>
      </c>
      <c r="H215" s="17">
        <f t="shared" si="31"/>
        <v>4.2833657197078132</v>
      </c>
      <c r="I215" s="19">
        <f t="shared" si="32"/>
        <v>83.672445064344018</v>
      </c>
      <c r="J215" s="19">
        <f t="shared" si="33"/>
        <v>-34.368088833782252</v>
      </c>
      <c r="L215" s="20"/>
      <c r="N215" s="15"/>
      <c r="O215" s="24" t="s">
        <v>180</v>
      </c>
      <c r="P215" s="15">
        <v>0</v>
      </c>
      <c r="Q215" s="15"/>
      <c r="R215" s="15"/>
      <c r="S215" s="15"/>
      <c r="T215" s="15"/>
      <c r="U215" s="15"/>
      <c r="V215" s="15"/>
      <c r="W215" s="15"/>
      <c r="X215" s="15"/>
      <c r="Y215" s="15">
        <f t="shared" si="20"/>
        <v>281.18974280338364</v>
      </c>
      <c r="Z215" s="15">
        <f t="shared" si="21"/>
        <v>78.810257196616362</v>
      </c>
      <c r="AA215" s="15">
        <f t="shared" si="22"/>
        <v>-29.489852811592229</v>
      </c>
      <c r="AB215" s="15">
        <f t="shared" si="23"/>
        <v>0</v>
      </c>
      <c r="AC215" s="15">
        <f t="shared" si="14"/>
        <v>0.15015301969853839</v>
      </c>
      <c r="AD215" s="15">
        <f t="shared" si="24"/>
        <v>-0.15015301969853839</v>
      </c>
      <c r="AE215" s="15">
        <f t="shared" si="25"/>
        <v>-0.57649829305055211</v>
      </c>
      <c r="AF215" s="15">
        <f t="shared" si="26"/>
        <v>-0.72665131274909056</v>
      </c>
      <c r="AG215" s="15">
        <f t="shared" si="27"/>
        <v>59.937762519787888</v>
      </c>
      <c r="AH215" s="15">
        <f t="shared" si="28"/>
        <v>120.0622374802121</v>
      </c>
      <c r="AI215" s="15">
        <f t="shared" si="15"/>
        <v>-66.689852811592232</v>
      </c>
      <c r="AJ215" s="21">
        <f t="shared" si="16"/>
        <v>-9.3856095222460247</v>
      </c>
      <c r="AK215" s="21">
        <f t="shared" si="17"/>
        <v>-9.3856095222460247</v>
      </c>
      <c r="AL215" s="8" t="s">
        <v>180</v>
      </c>
      <c r="AM215" s="21">
        <f t="shared" si="18"/>
        <v>120.0622374802121</v>
      </c>
      <c r="AN215" s="21">
        <f t="shared" si="19"/>
        <v>-9.3856095222460247</v>
      </c>
      <c r="AO215" s="21"/>
      <c r="AP215" s="21"/>
      <c r="AQ215" s="21"/>
      <c r="AR215" s="21"/>
      <c r="AS215" s="15"/>
      <c r="AT215" s="21"/>
      <c r="AU215" s="22"/>
      <c r="AV215" s="21"/>
      <c r="AW215" s="15"/>
      <c r="AX215" s="21"/>
      <c r="AY215" s="15"/>
      <c r="AZ215" s="15"/>
      <c r="BA215" s="15"/>
      <c r="BB215" s="15"/>
      <c r="BC215" s="15"/>
      <c r="BD215" s="19"/>
      <c r="BF215" s="19"/>
      <c r="BH215" s="19"/>
      <c r="BI215" s="19"/>
      <c r="BJ215" s="19"/>
      <c r="BK215" s="19"/>
      <c r="BL215" s="19"/>
      <c r="BN215" s="19"/>
      <c r="BO215" s="19"/>
      <c r="BP215" s="19"/>
      <c r="BQ215" s="19"/>
      <c r="BX215" s="19"/>
      <c r="BZ215" s="19"/>
      <c r="CA215" s="19"/>
      <c r="CB215" s="19"/>
      <c r="CC215" s="19"/>
      <c r="CD215" s="19"/>
      <c r="CE215" s="19"/>
      <c r="CF215" s="19"/>
      <c r="CG215" s="19"/>
      <c r="CH215" s="19"/>
      <c r="CI215" s="19"/>
      <c r="CJ215" s="19"/>
      <c r="CL215" s="19"/>
      <c r="CM215" s="19"/>
      <c r="CN215" s="19"/>
      <c r="CO215" s="19"/>
      <c r="CP215" s="19"/>
      <c r="CR215" s="19"/>
      <c r="CS215" s="19"/>
      <c r="CT215" s="19"/>
      <c r="CU215" s="19"/>
      <c r="CV215" s="19"/>
      <c r="CW215" s="15"/>
      <c r="CX215" s="15"/>
      <c r="CY215" s="21"/>
      <c r="CZ215" s="15"/>
      <c r="DA215" s="15"/>
      <c r="DB215" s="15"/>
      <c r="DC215" s="15"/>
      <c r="DD215" s="10"/>
      <c r="DE215" s="10"/>
      <c r="DF215" s="10"/>
      <c r="DG215" s="9"/>
      <c r="DH215" s="10"/>
      <c r="DI215" s="10"/>
      <c r="DJ215" s="10"/>
      <c r="DK215" s="10"/>
      <c r="DL215" s="10"/>
      <c r="DM215" s="10"/>
      <c r="DN215" s="10"/>
      <c r="DO215" s="10"/>
      <c r="DP215" s="10"/>
      <c r="DQ215" s="10"/>
      <c r="DR215" s="10"/>
      <c r="DS215" s="10"/>
      <c r="DT215" s="10"/>
      <c r="DU215" s="10"/>
      <c r="DV215" s="10"/>
      <c r="DW215" s="10"/>
      <c r="DX215" s="10"/>
      <c r="DY215" s="10"/>
      <c r="DZ215" s="10"/>
      <c r="EA215" s="10"/>
      <c r="EB215" s="15"/>
      <c r="EC215" s="15"/>
      <c r="ED215" s="15"/>
      <c r="EE215" s="15"/>
      <c r="EF215" s="15"/>
      <c r="EG215" s="15"/>
      <c r="EH215" s="15"/>
      <c r="EI215" s="15"/>
      <c r="EJ215" s="15"/>
      <c r="EK215" s="15"/>
      <c r="EL215" s="15"/>
      <c r="EM215" s="15"/>
      <c r="EN215" s="15"/>
      <c r="EO215" s="15"/>
      <c r="EP215" s="15"/>
      <c r="EQ215" s="15"/>
      <c r="ER215" s="15"/>
      <c r="ES215" s="15"/>
      <c r="ET215" s="15"/>
      <c r="EU215" s="15"/>
      <c r="EV215" s="15"/>
      <c r="EW215" s="15"/>
      <c r="EX215" s="15"/>
      <c r="EY215" s="15"/>
      <c r="EZ215" s="15"/>
      <c r="FA215" s="15"/>
      <c r="FB215" s="15"/>
      <c r="FC215" s="15"/>
      <c r="FD215" s="15"/>
      <c r="FE215" s="15"/>
      <c r="FF215" s="15"/>
      <c r="FG215" s="15"/>
      <c r="FH215" s="15"/>
      <c r="FI215" s="15"/>
      <c r="FJ215" s="15"/>
      <c r="FK215" s="15"/>
      <c r="FL215" s="15"/>
      <c r="FM215" s="15"/>
      <c r="FN215" s="15"/>
      <c r="FO215" s="15"/>
    </row>
    <row r="216" spans="2:171" s="2" customFormat="1" ht="15" customHeight="1">
      <c r="B216" s="8" t="s">
        <v>186</v>
      </c>
      <c r="C216" s="2">
        <f>(14+50/60+39/3600)</f>
        <v>14.844166666666668</v>
      </c>
      <c r="D216" s="2">
        <f>74+9.2/60</f>
        <v>74.153333333333336</v>
      </c>
      <c r="E216" s="17">
        <f t="shared" si="13"/>
        <v>136.8789254512395</v>
      </c>
      <c r="F216" s="17">
        <f t="shared" si="29"/>
        <v>74.048091272173238</v>
      </c>
      <c r="G216" s="17">
        <f t="shared" si="30"/>
        <v>-14.072369883828495</v>
      </c>
      <c r="H216" s="17">
        <f t="shared" si="31"/>
        <v>4.2833657197078132</v>
      </c>
      <c r="I216" s="19">
        <f t="shared" si="32"/>
        <v>136.88085998607292</v>
      </c>
      <c r="J216" s="19">
        <f t="shared" si="33"/>
        <v>74.049539574123543</v>
      </c>
      <c r="L216" s="20"/>
      <c r="N216" s="15"/>
      <c r="O216" s="24" t="s">
        <v>181</v>
      </c>
      <c r="P216" s="15">
        <v>0</v>
      </c>
      <c r="Q216" s="15"/>
      <c r="R216" s="15"/>
      <c r="S216" s="15"/>
      <c r="T216" s="15"/>
      <c r="U216" s="15"/>
      <c r="V216" s="15"/>
      <c r="W216" s="15"/>
      <c r="X216" s="15"/>
      <c r="Y216" s="15">
        <f t="shared" si="20"/>
        <v>77.814953269766875</v>
      </c>
      <c r="Z216" s="15">
        <f t="shared" si="21"/>
        <v>77.814953269766875</v>
      </c>
      <c r="AA216" s="15">
        <f t="shared" si="22"/>
        <v>-57.246663504146163</v>
      </c>
      <c r="AB216" s="15">
        <f t="shared" si="23"/>
        <v>0</v>
      </c>
      <c r="AC216" s="15">
        <f t="shared" si="14"/>
        <v>0.16390319478414803</v>
      </c>
      <c r="AD216" s="15">
        <f t="shared" si="24"/>
        <v>-0.16390319478414803</v>
      </c>
      <c r="AE216" s="15">
        <f t="shared" si="25"/>
        <v>-1.5903030776199423</v>
      </c>
      <c r="AF216" s="15">
        <f t="shared" si="26"/>
        <v>-1.7542062724040903</v>
      </c>
      <c r="AG216" s="15">
        <f t="shared" si="27"/>
        <v>35.590438888392278</v>
      </c>
      <c r="AH216" s="15">
        <f t="shared" si="28"/>
        <v>215.59043888839227</v>
      </c>
      <c r="AI216" s="15">
        <f t="shared" si="15"/>
        <v>-94.446663504146159</v>
      </c>
      <c r="AJ216" s="21">
        <f t="shared" si="16"/>
        <v>-24.677718206537651</v>
      </c>
      <c r="AK216" s="21">
        <f t="shared" si="17"/>
        <v>-24.677718206537651</v>
      </c>
      <c r="AL216" s="8" t="s">
        <v>181</v>
      </c>
      <c r="AM216" s="21">
        <f t="shared" si="18"/>
        <v>215.59043888839227</v>
      </c>
      <c r="AN216" s="21">
        <f t="shared" si="19"/>
        <v>-24.677718206537651</v>
      </c>
      <c r="AO216" s="21"/>
      <c r="AP216" s="21"/>
      <c r="AQ216" s="21"/>
      <c r="AR216" s="21"/>
      <c r="AS216" s="15"/>
      <c r="AT216" s="21"/>
      <c r="AU216" s="22"/>
      <c r="AV216" s="21"/>
      <c r="AW216" s="15"/>
      <c r="AX216" s="21"/>
      <c r="AY216" s="15"/>
      <c r="AZ216" s="15"/>
      <c r="BA216" s="15"/>
      <c r="BB216" s="15"/>
      <c r="BC216" s="15"/>
      <c r="BD216" s="19"/>
      <c r="BF216" s="19"/>
      <c r="BH216" s="19"/>
      <c r="BI216" s="19"/>
      <c r="BJ216" s="19"/>
      <c r="BK216" s="19"/>
      <c r="BL216" s="19"/>
      <c r="BN216" s="19"/>
      <c r="BO216" s="19"/>
      <c r="BP216" s="19"/>
      <c r="BQ216" s="19"/>
      <c r="BX216" s="19"/>
      <c r="BZ216" s="19"/>
      <c r="CA216" s="19"/>
      <c r="CB216" s="19"/>
      <c r="CC216" s="19"/>
      <c r="CD216" s="19"/>
      <c r="CE216" s="19"/>
      <c r="CF216" s="19"/>
      <c r="CG216" s="19"/>
      <c r="CH216" s="19"/>
      <c r="CI216" s="19"/>
      <c r="CJ216" s="19"/>
      <c r="CL216" s="19"/>
      <c r="CM216" s="19"/>
      <c r="CN216" s="19"/>
      <c r="CO216" s="19"/>
      <c r="CP216" s="19"/>
      <c r="CR216" s="19"/>
      <c r="CS216" s="19"/>
      <c r="CT216" s="19"/>
      <c r="CU216" s="19"/>
      <c r="CV216" s="19"/>
      <c r="CW216" s="15"/>
      <c r="CX216" s="15"/>
      <c r="CY216" s="21"/>
      <c r="CZ216" s="15"/>
      <c r="DA216" s="15"/>
      <c r="DB216" s="15"/>
      <c r="DC216" s="15"/>
      <c r="DD216" s="10"/>
      <c r="DE216" s="10"/>
      <c r="DF216" s="10"/>
      <c r="DG216" s="9"/>
      <c r="DH216" s="10"/>
      <c r="DI216" s="10"/>
      <c r="DJ216" s="10"/>
      <c r="DK216" s="10"/>
      <c r="DL216" s="10"/>
      <c r="DM216" s="10"/>
      <c r="DN216" s="10"/>
      <c r="DO216" s="10"/>
      <c r="DP216" s="10"/>
      <c r="DQ216" s="10"/>
      <c r="DR216" s="10"/>
      <c r="DS216" s="10"/>
      <c r="DT216" s="10"/>
      <c r="DU216" s="10"/>
      <c r="DV216" s="10"/>
      <c r="DW216" s="10"/>
      <c r="DX216" s="10"/>
      <c r="DY216" s="10"/>
      <c r="DZ216" s="10"/>
      <c r="EA216" s="10"/>
      <c r="EB216" s="15"/>
      <c r="EC216" s="15"/>
      <c r="ED216" s="15"/>
      <c r="EE216" s="15"/>
      <c r="EF216" s="15"/>
      <c r="EG216" s="15"/>
      <c r="EH216" s="15"/>
      <c r="EI216" s="15"/>
      <c r="EJ216" s="15"/>
      <c r="EK216" s="15"/>
      <c r="EL216" s="15"/>
      <c r="EM216" s="15"/>
      <c r="EN216" s="15"/>
      <c r="EO216" s="15"/>
      <c r="EP216" s="15"/>
      <c r="EQ216" s="15"/>
      <c r="ER216" s="15"/>
      <c r="ES216" s="15"/>
      <c r="ET216" s="15"/>
      <c r="EU216" s="15"/>
      <c r="EV216" s="15"/>
      <c r="EW216" s="15"/>
      <c r="EX216" s="15"/>
      <c r="EY216" s="15"/>
      <c r="EZ216" s="15"/>
      <c r="FA216" s="15"/>
      <c r="FB216" s="15"/>
      <c r="FC216" s="15"/>
      <c r="FD216" s="15"/>
      <c r="FE216" s="15"/>
      <c r="FF216" s="15"/>
      <c r="FG216" s="15"/>
      <c r="FH216" s="15"/>
      <c r="FI216" s="15"/>
      <c r="FJ216" s="15"/>
      <c r="FK216" s="15"/>
      <c r="FL216" s="15"/>
      <c r="FM216" s="15"/>
      <c r="FN216" s="15"/>
      <c r="FO216" s="15"/>
    </row>
    <row r="217" spans="2:171" s="2" customFormat="1" ht="15" customHeight="1">
      <c r="B217" s="8" t="s">
        <v>187</v>
      </c>
      <c r="C217" s="2">
        <f>(23+4/60+44/3600)</f>
        <v>23.078888888888887</v>
      </c>
      <c r="D217" s="2">
        <f>15+12.3/60</f>
        <v>15.205</v>
      </c>
      <c r="E217" s="17">
        <f t="shared" si="13"/>
        <v>13.472014862325977</v>
      </c>
      <c r="F217" s="17">
        <f t="shared" si="29"/>
        <v>15.343975609112571</v>
      </c>
      <c r="G217" s="17">
        <f t="shared" si="30"/>
        <v>-14.072369883828495</v>
      </c>
      <c r="H217" s="17">
        <f t="shared" si="31"/>
        <v>4.2833657197078132</v>
      </c>
      <c r="I217" s="19">
        <f t="shared" si="32"/>
        <v>13.470404661165301</v>
      </c>
      <c r="J217" s="19">
        <f t="shared" si="33"/>
        <v>15.342932015065983</v>
      </c>
      <c r="L217" s="20"/>
      <c r="N217" s="15"/>
      <c r="O217" s="24" t="s">
        <v>182</v>
      </c>
      <c r="P217" s="15">
        <v>0</v>
      </c>
      <c r="Q217" s="15"/>
      <c r="R217" s="15"/>
      <c r="S217" s="15"/>
      <c r="T217" s="15"/>
      <c r="U217" s="15"/>
      <c r="V217" s="15"/>
      <c r="W217" s="15"/>
      <c r="X217" s="15"/>
      <c r="Y217" s="15">
        <f t="shared" si="20"/>
        <v>81.622485719496467</v>
      </c>
      <c r="Z217" s="15">
        <f t="shared" si="21"/>
        <v>81.622485719496467</v>
      </c>
      <c r="AA217" s="15">
        <f t="shared" si="22"/>
        <v>-17.679306050602445</v>
      </c>
      <c r="AB217" s="15">
        <f t="shared" si="23"/>
        <v>0</v>
      </c>
      <c r="AC217" s="15">
        <f t="shared" si="14"/>
        <v>0.11178110581965572</v>
      </c>
      <c r="AD217" s="15">
        <f t="shared" si="24"/>
        <v>-0.11178110581965572</v>
      </c>
      <c r="AE217" s="15">
        <f t="shared" si="25"/>
        <v>-0.3221805914143227</v>
      </c>
      <c r="AF217" s="15">
        <f t="shared" si="26"/>
        <v>-0.43396169723397843</v>
      </c>
      <c r="AG217" s="15">
        <f t="shared" si="27"/>
        <v>70.931601662579524</v>
      </c>
      <c r="AH217" s="15">
        <f t="shared" si="28"/>
        <v>250.93160166257951</v>
      </c>
      <c r="AI217" s="15">
        <f t="shared" si="15"/>
        <v>-54.879306050602452</v>
      </c>
      <c r="AJ217" s="21">
        <f t="shared" si="16"/>
        <v>-4.1886560735766558</v>
      </c>
      <c r="AK217" s="21">
        <f t="shared" si="17"/>
        <v>-4.1886560735766558</v>
      </c>
      <c r="AL217" s="8" t="s">
        <v>182</v>
      </c>
      <c r="AM217" s="21">
        <f t="shared" si="18"/>
        <v>250.93160166257951</v>
      </c>
      <c r="AN217" s="21">
        <f t="shared" si="19"/>
        <v>-4.1886560735766558</v>
      </c>
      <c r="AO217" s="21"/>
      <c r="AP217" s="21"/>
      <c r="AQ217" s="21"/>
      <c r="AR217" s="21"/>
      <c r="AS217" s="15"/>
      <c r="AT217" s="21"/>
      <c r="AU217" s="22"/>
      <c r="AV217" s="21"/>
      <c r="AW217" s="15"/>
      <c r="AX217" s="21"/>
      <c r="AY217" s="15"/>
      <c r="AZ217" s="15"/>
      <c r="BA217" s="15"/>
      <c r="BB217" s="15"/>
      <c r="BC217" s="15"/>
      <c r="BD217" s="19"/>
      <c r="BF217" s="19"/>
      <c r="BH217" s="19"/>
      <c r="BI217" s="19"/>
      <c r="BJ217" s="19"/>
      <c r="BK217" s="19"/>
      <c r="BL217" s="19"/>
      <c r="BN217" s="19"/>
      <c r="BO217" s="19"/>
      <c r="BP217" s="19"/>
      <c r="BQ217" s="19"/>
      <c r="BX217" s="19"/>
      <c r="BZ217" s="19"/>
      <c r="CA217" s="19"/>
      <c r="CB217" s="19"/>
      <c r="CC217" s="19"/>
      <c r="CD217" s="19"/>
      <c r="CE217" s="19"/>
      <c r="CF217" s="19"/>
      <c r="CG217" s="19"/>
      <c r="CH217" s="19"/>
      <c r="CI217" s="19"/>
      <c r="CJ217" s="19"/>
      <c r="CL217" s="19"/>
      <c r="CM217" s="19"/>
      <c r="CN217" s="19"/>
      <c r="CO217" s="19"/>
      <c r="CP217" s="19"/>
      <c r="CR217" s="19"/>
      <c r="CS217" s="19"/>
      <c r="CT217" s="19"/>
      <c r="CU217" s="19"/>
      <c r="CV217" s="19"/>
      <c r="CW217" s="15"/>
      <c r="CX217" s="15"/>
      <c r="CY217" s="21"/>
      <c r="CZ217" s="15"/>
      <c r="DA217" s="15"/>
      <c r="DB217" s="15"/>
      <c r="DC217" s="15"/>
      <c r="DD217" s="10"/>
      <c r="DE217" s="10"/>
      <c r="DF217" s="10"/>
      <c r="DG217" s="9"/>
      <c r="DH217" s="10"/>
      <c r="DI217" s="10"/>
      <c r="DJ217" s="10"/>
      <c r="DK217" s="10"/>
      <c r="DL217" s="10"/>
      <c r="DM217" s="10"/>
      <c r="DN217" s="10"/>
      <c r="DO217" s="10"/>
      <c r="DP217" s="10"/>
      <c r="DQ217" s="10"/>
      <c r="DR217" s="10"/>
      <c r="DS217" s="10"/>
      <c r="DT217" s="10"/>
      <c r="DU217" s="10"/>
      <c r="DV217" s="10"/>
      <c r="DW217" s="10"/>
      <c r="DX217" s="10"/>
      <c r="DY217" s="10"/>
      <c r="DZ217" s="10"/>
      <c r="EA217" s="10"/>
      <c r="EB217" s="15"/>
      <c r="EC217" s="15"/>
      <c r="ED217" s="15"/>
      <c r="EE217" s="15"/>
      <c r="EF217" s="15"/>
      <c r="EG217" s="15"/>
      <c r="EH217" s="15"/>
      <c r="EI217" s="15"/>
      <c r="EJ217" s="15"/>
      <c r="EK217" s="15"/>
      <c r="EL217" s="15"/>
      <c r="EM217" s="15"/>
      <c r="EN217" s="15"/>
      <c r="EO217" s="15"/>
      <c r="EP217" s="15"/>
      <c r="EQ217" s="15"/>
      <c r="ER217" s="15"/>
      <c r="ES217" s="15"/>
      <c r="ET217" s="15"/>
      <c r="EU217" s="15"/>
      <c r="EV217" s="15"/>
      <c r="EW217" s="15"/>
      <c r="EX217" s="15"/>
      <c r="EY217" s="15"/>
      <c r="EZ217" s="15"/>
      <c r="FA217" s="15"/>
      <c r="FB217" s="15"/>
      <c r="FC217" s="15"/>
      <c r="FD217" s="15"/>
      <c r="FE217" s="15"/>
      <c r="FF217" s="15"/>
      <c r="FG217" s="15"/>
      <c r="FH217" s="15"/>
      <c r="FI217" s="15"/>
      <c r="FJ217" s="15"/>
      <c r="FK217" s="15"/>
      <c r="FL217" s="15"/>
      <c r="FM217" s="15"/>
      <c r="FN217" s="15"/>
      <c r="FO217" s="15"/>
    </row>
    <row r="218" spans="2:171" s="2" customFormat="1" ht="15" customHeight="1">
      <c r="B218" s="8" t="s">
        <v>188</v>
      </c>
      <c r="C218" s="2">
        <f>(3+2/60+17/3600)</f>
        <v>3.0380555555555553</v>
      </c>
      <c r="D218" s="2">
        <f>4+5.2/60</f>
        <v>4.0866666666666669</v>
      </c>
      <c r="E218" s="17">
        <f t="shared" si="13"/>
        <v>314.09922062627743</v>
      </c>
      <c r="F218" s="17">
        <f t="shared" si="29"/>
        <v>4.1868522230478451</v>
      </c>
      <c r="G218" s="17">
        <f t="shared" si="30"/>
        <v>-14.072369883828495</v>
      </c>
      <c r="H218" s="17">
        <f t="shared" si="31"/>
        <v>4.2833657197078132</v>
      </c>
      <c r="I218" s="19">
        <f t="shared" si="32"/>
        <v>314.09932766162467</v>
      </c>
      <c r="J218" s="19">
        <f t="shared" si="33"/>
        <v>4.1858267430667491</v>
      </c>
      <c r="L218" s="20"/>
      <c r="N218" s="15"/>
      <c r="O218" s="24" t="s">
        <v>183</v>
      </c>
      <c r="P218" s="15">
        <v>0</v>
      </c>
      <c r="Q218" s="15"/>
      <c r="R218" s="15"/>
      <c r="S218" s="15"/>
      <c r="T218" s="15"/>
      <c r="U218" s="15"/>
      <c r="V218" s="15"/>
      <c r="W218" s="15"/>
      <c r="X218" s="15"/>
      <c r="Y218" s="15">
        <f t="shared" si="20"/>
        <v>54.671566645958364</v>
      </c>
      <c r="Z218" s="15">
        <f t="shared" si="21"/>
        <v>54.671566645958364</v>
      </c>
      <c r="AA218" s="15">
        <f t="shared" si="22"/>
        <v>-60.487783199278233</v>
      </c>
      <c r="AB218" s="15">
        <f t="shared" si="23"/>
        <v>0</v>
      </c>
      <c r="AC218" s="15">
        <f t="shared" si="14"/>
        <v>0.53799692062022741</v>
      </c>
      <c r="AD218" s="15">
        <f t="shared" si="24"/>
        <v>-0.53799692062022741</v>
      </c>
      <c r="AE218" s="15">
        <f t="shared" si="25"/>
        <v>-2.1653654935941224</v>
      </c>
      <c r="AF218" s="15">
        <f t="shared" si="26"/>
        <v>-2.7033624142143498</v>
      </c>
      <c r="AG218" s="15">
        <f t="shared" si="27"/>
        <v>24.910227267972544</v>
      </c>
      <c r="AH218" s="15">
        <f t="shared" si="28"/>
        <v>204.91022726797254</v>
      </c>
      <c r="AI218" s="15">
        <f t="shared" si="15"/>
        <v>-97.687783199278243</v>
      </c>
      <c r="AJ218" s="21">
        <f t="shared" si="16"/>
        <v>-17.412882265078554</v>
      </c>
      <c r="AK218" s="21">
        <f t="shared" si="17"/>
        <v>-17.412882265078554</v>
      </c>
      <c r="AL218" s="8" t="s">
        <v>183</v>
      </c>
      <c r="AM218" s="21">
        <f t="shared" si="18"/>
        <v>204.91022726797254</v>
      </c>
      <c r="AN218" s="21">
        <f t="shared" si="19"/>
        <v>-17.412882265078554</v>
      </c>
      <c r="AO218" s="21"/>
      <c r="AP218" s="21"/>
      <c r="AQ218" s="21"/>
      <c r="AR218" s="21"/>
      <c r="AS218" s="15"/>
      <c r="AT218" s="21"/>
      <c r="AU218" s="22"/>
      <c r="AV218" s="21"/>
      <c r="AW218" s="15"/>
      <c r="AX218" s="21"/>
      <c r="AY218" s="15"/>
      <c r="AZ218" s="15"/>
      <c r="BA218" s="15"/>
      <c r="BB218" s="15"/>
      <c r="BC218" s="15"/>
      <c r="BD218" s="19"/>
      <c r="BF218" s="19"/>
      <c r="BH218" s="19"/>
      <c r="BI218" s="19"/>
      <c r="BJ218" s="19"/>
      <c r="BK218" s="19"/>
      <c r="BL218" s="19"/>
      <c r="BN218" s="19"/>
      <c r="BO218" s="19"/>
      <c r="BP218" s="19"/>
      <c r="BQ218" s="19"/>
      <c r="BX218" s="19"/>
      <c r="BZ218" s="19"/>
      <c r="CA218" s="19"/>
      <c r="CB218" s="19"/>
      <c r="CC218" s="19"/>
      <c r="CD218" s="19"/>
      <c r="CE218" s="19"/>
      <c r="CF218" s="19"/>
      <c r="CG218" s="19"/>
      <c r="CH218" s="19"/>
      <c r="CI218" s="19"/>
      <c r="CJ218" s="19"/>
      <c r="CL218" s="19"/>
      <c r="CM218" s="19"/>
      <c r="CN218" s="19"/>
      <c r="CO218" s="19"/>
      <c r="CP218" s="19"/>
      <c r="CR218" s="19"/>
      <c r="CS218" s="19"/>
      <c r="CT218" s="19"/>
      <c r="CU218" s="19"/>
      <c r="CV218" s="19"/>
      <c r="CW218" s="15"/>
      <c r="CX218" s="15"/>
      <c r="CY218" s="21"/>
      <c r="CZ218" s="15"/>
      <c r="DA218" s="15"/>
      <c r="DB218" s="15"/>
      <c r="DC218" s="15"/>
      <c r="DD218" s="10"/>
      <c r="DE218" s="10"/>
      <c r="DF218" s="10"/>
      <c r="DG218" s="9"/>
      <c r="DH218" s="10"/>
      <c r="DI218" s="10"/>
      <c r="DJ218" s="10"/>
      <c r="DK218" s="10"/>
      <c r="DL218" s="10"/>
      <c r="DM218" s="10"/>
      <c r="DN218" s="10"/>
      <c r="DO218" s="10"/>
      <c r="DP218" s="10"/>
      <c r="DQ218" s="10"/>
      <c r="DR218" s="10"/>
      <c r="DS218" s="10"/>
      <c r="DT218" s="10"/>
      <c r="DU218" s="10"/>
      <c r="DV218" s="10"/>
      <c r="DW218" s="10"/>
      <c r="DX218" s="10"/>
      <c r="DY218" s="10"/>
      <c r="DZ218" s="10"/>
      <c r="EA218" s="10"/>
      <c r="EB218" s="15"/>
      <c r="EC218" s="15"/>
      <c r="ED218" s="15"/>
      <c r="EE218" s="15"/>
      <c r="EF218" s="15"/>
      <c r="EG218" s="15"/>
      <c r="EH218" s="15"/>
      <c r="EI218" s="15"/>
      <c r="EJ218" s="15"/>
      <c r="EK218" s="15"/>
      <c r="EL218" s="15"/>
      <c r="EM218" s="15"/>
      <c r="EN218" s="15"/>
      <c r="EO218" s="15"/>
      <c r="EP218" s="15"/>
      <c r="EQ218" s="15"/>
      <c r="ER218" s="15"/>
      <c r="ES218" s="15"/>
      <c r="ET218" s="15"/>
      <c r="EU218" s="15"/>
      <c r="EV218" s="15"/>
      <c r="EW218" s="15"/>
      <c r="EX218" s="15"/>
      <c r="EY218" s="15"/>
      <c r="EZ218" s="15"/>
      <c r="FA218" s="15"/>
      <c r="FB218" s="15"/>
      <c r="FC218" s="15"/>
      <c r="FD218" s="15"/>
      <c r="FE218" s="15"/>
      <c r="FF218" s="15"/>
      <c r="FG218" s="15"/>
      <c r="FH218" s="15"/>
      <c r="FI218" s="15"/>
      <c r="FJ218" s="15"/>
      <c r="FK218" s="15"/>
      <c r="FL218" s="15"/>
      <c r="FM218" s="15"/>
      <c r="FN218" s="15"/>
      <c r="FO218" s="15"/>
    </row>
    <row r="219" spans="2:171" s="2" customFormat="1" ht="15" customHeight="1">
      <c r="B219" s="8" t="s">
        <v>189</v>
      </c>
      <c r="C219" s="2">
        <f>(14+6/60+40/3600)</f>
        <v>14.111111111111111</v>
      </c>
      <c r="D219" s="2">
        <f>-36-21.9/60</f>
        <v>-36.365000000000002</v>
      </c>
      <c r="E219" s="17">
        <f t="shared" si="13"/>
        <v>148.02962115816803</v>
      </c>
      <c r="F219" s="17">
        <f t="shared" si="29"/>
        <v>-36.486809019967389</v>
      </c>
      <c r="G219" s="17">
        <f t="shared" si="30"/>
        <v>-14.072369883828495</v>
      </c>
      <c r="H219" s="17">
        <f t="shared" si="31"/>
        <v>4.2833657197078132</v>
      </c>
      <c r="I219" s="19">
        <f t="shared" si="32"/>
        <v>148.02976643874965</v>
      </c>
      <c r="J219" s="19">
        <f t="shared" si="33"/>
        <v>-36.485195453482106</v>
      </c>
      <c r="L219" s="20"/>
      <c r="N219" s="15"/>
      <c r="O219" s="24" t="s">
        <v>184</v>
      </c>
      <c r="P219" s="15">
        <v>0</v>
      </c>
      <c r="Q219" s="15"/>
      <c r="R219" s="15"/>
      <c r="S219" s="15"/>
      <c r="T219" s="15"/>
      <c r="U219" s="15"/>
      <c r="V219" s="15"/>
      <c r="W219" s="15"/>
      <c r="X219" s="15"/>
      <c r="Y219" s="15">
        <f t="shared" si="20"/>
        <v>233.76715926140037</v>
      </c>
      <c r="Z219" s="15">
        <f t="shared" si="21"/>
        <v>126.23284073859963</v>
      </c>
      <c r="AA219" s="15">
        <f t="shared" si="22"/>
        <v>23.583700452367321</v>
      </c>
      <c r="AB219" s="15">
        <f t="shared" si="23"/>
        <v>1</v>
      </c>
      <c r="AC219" s="15">
        <f t="shared" si="14"/>
        <v>0.55620265762871646</v>
      </c>
      <c r="AD219" s="15">
        <f t="shared" si="24"/>
        <v>0.55620265762871646</v>
      </c>
      <c r="AE219" s="15">
        <f t="shared" si="25"/>
        <v>0.54120852779781825</v>
      </c>
      <c r="AF219" s="15">
        <f t="shared" si="26"/>
        <v>1.0974111854265347</v>
      </c>
      <c r="AG219" s="15">
        <f t="shared" si="27"/>
        <v>48.842616579969906</v>
      </c>
      <c r="AH219" s="15">
        <f t="shared" si="28"/>
        <v>48.842616579969906</v>
      </c>
      <c r="AI219" s="15">
        <f t="shared" si="15"/>
        <v>-13.616299547632682</v>
      </c>
      <c r="AJ219" s="21">
        <f t="shared" si="16"/>
        <v>-10.928698611515234</v>
      </c>
      <c r="AK219" s="21">
        <f t="shared" si="17"/>
        <v>-10.928698611515234</v>
      </c>
      <c r="AL219" s="8" t="s">
        <v>184</v>
      </c>
      <c r="AM219" s="21">
        <f t="shared" si="18"/>
        <v>48.842616579969906</v>
      </c>
      <c r="AN219" s="21">
        <f t="shared" si="19"/>
        <v>-10.928698611515234</v>
      </c>
      <c r="AO219" s="21"/>
      <c r="AP219" s="21"/>
      <c r="AQ219" s="21"/>
      <c r="AR219" s="21"/>
      <c r="AS219" s="15"/>
      <c r="AT219" s="21"/>
      <c r="AU219" s="22"/>
      <c r="AV219" s="21"/>
      <c r="AW219" s="15"/>
      <c r="AX219" s="21"/>
      <c r="AY219" s="15"/>
      <c r="AZ219" s="15"/>
      <c r="BA219" s="15"/>
      <c r="BB219" s="15"/>
      <c r="BC219" s="15"/>
      <c r="BD219" s="19"/>
      <c r="BF219" s="19"/>
      <c r="BH219" s="19"/>
      <c r="BI219" s="19"/>
      <c r="BJ219" s="19"/>
      <c r="BK219" s="19"/>
      <c r="BL219" s="19"/>
      <c r="BN219" s="19"/>
      <c r="BO219" s="19"/>
      <c r="BP219" s="19"/>
      <c r="BQ219" s="19"/>
      <c r="BX219" s="19"/>
      <c r="BZ219" s="19"/>
      <c r="CA219" s="19"/>
      <c r="CB219" s="19"/>
      <c r="CC219" s="19"/>
      <c r="CD219" s="19"/>
      <c r="CE219" s="19"/>
      <c r="CF219" s="19"/>
      <c r="CG219" s="19"/>
      <c r="CH219" s="19"/>
      <c r="CI219" s="19"/>
      <c r="CJ219" s="19"/>
      <c r="CL219" s="19"/>
      <c r="CM219" s="19"/>
      <c r="CN219" s="19"/>
      <c r="CO219" s="19"/>
      <c r="CP219" s="19"/>
      <c r="CR219" s="19"/>
      <c r="CS219" s="19"/>
      <c r="CT219" s="19"/>
      <c r="CU219" s="19"/>
      <c r="CV219" s="19"/>
      <c r="CW219" s="15"/>
      <c r="CX219" s="15"/>
      <c r="CY219" s="21"/>
      <c r="CZ219" s="15"/>
      <c r="DA219" s="15"/>
      <c r="DB219" s="15"/>
      <c r="DC219" s="15"/>
      <c r="DD219" s="10"/>
      <c r="DE219" s="10"/>
      <c r="DF219" s="10"/>
      <c r="DG219" s="9"/>
      <c r="DH219" s="10"/>
      <c r="DI219" s="10"/>
      <c r="DJ219" s="10"/>
      <c r="DK219" s="10"/>
      <c r="DL219" s="10"/>
      <c r="DM219" s="10"/>
      <c r="DN219" s="10"/>
      <c r="DO219" s="10"/>
      <c r="DP219" s="10"/>
      <c r="DQ219" s="10"/>
      <c r="DR219" s="10"/>
      <c r="DS219" s="10"/>
      <c r="DT219" s="10"/>
      <c r="DU219" s="10"/>
      <c r="DV219" s="10"/>
      <c r="DW219" s="10"/>
      <c r="DX219" s="10"/>
      <c r="DY219" s="10"/>
      <c r="DZ219" s="10"/>
      <c r="EA219" s="10"/>
      <c r="EB219" s="15"/>
      <c r="EC219" s="15"/>
      <c r="ED219" s="15"/>
      <c r="EE219" s="15"/>
      <c r="EF219" s="15"/>
      <c r="EG219" s="15"/>
      <c r="EH219" s="15"/>
      <c r="EI219" s="15"/>
      <c r="EJ219" s="15"/>
      <c r="EK219" s="15"/>
      <c r="EL219" s="15"/>
      <c r="EM219" s="15"/>
      <c r="EN219" s="15"/>
      <c r="EO219" s="15"/>
      <c r="EP219" s="15"/>
      <c r="EQ219" s="15"/>
      <c r="ER219" s="15"/>
      <c r="ES219" s="15"/>
      <c r="ET219" s="15"/>
      <c r="EU219" s="15"/>
      <c r="EV219" s="15"/>
      <c r="EW219" s="15"/>
      <c r="EX219" s="15"/>
      <c r="EY219" s="15"/>
      <c r="EZ219" s="15"/>
      <c r="FA219" s="15"/>
      <c r="FB219" s="15"/>
      <c r="FC219" s="15"/>
      <c r="FD219" s="15"/>
      <c r="FE219" s="15"/>
      <c r="FF219" s="15"/>
      <c r="FG219" s="15"/>
      <c r="FH219" s="15"/>
      <c r="FI219" s="15"/>
      <c r="FJ219" s="15"/>
      <c r="FK219" s="15"/>
      <c r="FL219" s="15"/>
      <c r="FM219" s="15"/>
      <c r="FN219" s="15"/>
      <c r="FO219" s="15"/>
    </row>
    <row r="220" spans="2:171" s="2" customFormat="1" ht="15" customHeight="1">
      <c r="B220" s="8" t="s">
        <v>190</v>
      </c>
      <c r="C220" s="2">
        <f>(9+13/60+16/3600)</f>
        <v>9.2211111111111119</v>
      </c>
      <c r="D220" s="2">
        <f>-69-42.8/60</f>
        <v>-69.713333333333338</v>
      </c>
      <c r="E220" s="17">
        <f t="shared" si="13"/>
        <v>221.41597149952148</v>
      </c>
      <c r="F220" s="17">
        <f t="shared" si="29"/>
        <v>-69.820217424940878</v>
      </c>
      <c r="G220" s="17">
        <f t="shared" si="30"/>
        <v>-14.072369883828495</v>
      </c>
      <c r="H220" s="17">
        <f t="shared" si="31"/>
        <v>4.2833657197078132</v>
      </c>
      <c r="I220" s="19">
        <f t="shared" si="32"/>
        <v>221.41420353590181</v>
      </c>
      <c r="J220" s="19">
        <f t="shared" si="33"/>
        <v>-69.818865440855859</v>
      </c>
      <c r="L220" s="20"/>
      <c r="N220" s="15"/>
      <c r="O220" s="24" t="s">
        <v>242</v>
      </c>
      <c r="P220" s="15">
        <v>1</v>
      </c>
      <c r="Q220" s="15">
        <f>GZ181</f>
        <v>101.24555082366265</v>
      </c>
      <c r="R220" s="15">
        <f>GZ182</f>
        <v>88.717412893047538</v>
      </c>
      <c r="S220" s="15">
        <f>GZ183</f>
        <v>103.75117868876617</v>
      </c>
      <c r="T220" s="15">
        <f>GY181</f>
        <v>21.997597742226962</v>
      </c>
      <c r="U220" s="15">
        <f>GY182</f>
        <v>21.998355435330602</v>
      </c>
      <c r="V220" s="15">
        <f>GY183</f>
        <v>21.997446214217376</v>
      </c>
      <c r="W220" s="15"/>
      <c r="X220" s="15"/>
      <c r="Y220" s="15">
        <f>MOD(Q220+$U$5,360)</f>
        <v>154.74555082366265</v>
      </c>
      <c r="Z220" s="15">
        <f>IF(Y220&gt;180,360-Y220,Y220)</f>
        <v>154.74555082366265</v>
      </c>
      <c r="AA220" s="15">
        <f>T220</f>
        <v>21.997597742226962</v>
      </c>
      <c r="AB220" s="15">
        <f>IF(Y220&gt;90,IF(Y220&lt;270,1,0),0)</f>
        <v>1</v>
      </c>
      <c r="AC220" s="15">
        <f t="shared" si="14"/>
        <v>1.6090739979353601</v>
      </c>
      <c r="AD220" s="15">
        <f>IF(AB220=0,IF($S$4="N",-AC220,AC220),IF($S$4="N",AC220,-AC220))</f>
        <v>1.6090739979353601</v>
      </c>
      <c r="AE220" s="15">
        <f>IF(AA220&gt;0,ABS(TAN(RADIANS(AA220))/SIN(RADIANS(Y220))),-ABS(TAN(RADIANS(AA220))/SIN(RADIANS(Y220))))</f>
        <v>0.94688362223312117</v>
      </c>
      <c r="AF220" s="15">
        <f>AD220+AE220</f>
        <v>2.5559576201684813</v>
      </c>
      <c r="AG220" s="15">
        <f>ABS(DEGREES(ATAN(1/(COS(RADIANS(ABS($U$4)))*AF220))))</f>
        <v>26.159534690921046</v>
      </c>
      <c r="AH220" s="15">
        <f>IF(AF220&lt;0,IF(Y220&lt;180,180+AG220,180-AG220),IF(Y220&lt;180,360-AG220,AG220))</f>
        <v>333.84046530907898</v>
      </c>
      <c r="AI220" s="15">
        <f t="shared" si="15"/>
        <v>-15.202402257773041</v>
      </c>
      <c r="AJ220" s="21">
        <f t="shared" si="16"/>
        <v>-26.199020047175573</v>
      </c>
      <c r="AK220" s="21">
        <f t="shared" si="17"/>
        <v>-26.199020047175573</v>
      </c>
      <c r="AL220" s="8" t="s">
        <v>242</v>
      </c>
      <c r="AM220" s="21">
        <f t="shared" si="18"/>
        <v>333.84046530907898</v>
      </c>
      <c r="AN220" s="21">
        <f t="shared" si="19"/>
        <v>-26.199020047175573</v>
      </c>
      <c r="AO220" s="21"/>
      <c r="AP220" s="21"/>
      <c r="AQ220" s="21"/>
      <c r="AR220" s="21"/>
      <c r="AS220" s="15"/>
      <c r="AT220" s="21"/>
      <c r="AU220" s="22"/>
      <c r="AV220" s="21"/>
      <c r="AW220" s="15"/>
      <c r="AX220" s="21"/>
      <c r="AY220" s="15"/>
      <c r="AZ220" s="15"/>
      <c r="BA220" s="15"/>
      <c r="BB220" s="15"/>
      <c r="BC220" s="15"/>
      <c r="BD220" s="19"/>
      <c r="BF220" s="19"/>
      <c r="BH220" s="19"/>
      <c r="BI220" s="19"/>
      <c r="BJ220" s="19"/>
      <c r="BK220" s="19"/>
      <c r="BL220" s="19"/>
      <c r="BN220" s="19"/>
      <c r="BO220" s="19"/>
      <c r="BP220" s="19"/>
      <c r="BQ220" s="19"/>
      <c r="BX220" s="19"/>
      <c r="BZ220" s="19"/>
      <c r="CA220" s="19"/>
      <c r="CB220" s="19"/>
      <c r="CC220" s="19"/>
      <c r="CD220" s="19"/>
      <c r="CE220" s="19"/>
      <c r="CF220" s="19"/>
      <c r="CG220" s="19"/>
      <c r="CH220" s="19"/>
      <c r="CI220" s="19"/>
      <c r="CJ220" s="19"/>
      <c r="CL220" s="19"/>
      <c r="CM220" s="19"/>
      <c r="CN220" s="19"/>
      <c r="CO220" s="19"/>
      <c r="CP220" s="19"/>
      <c r="CR220" s="19"/>
      <c r="CS220" s="19"/>
      <c r="CT220" s="19"/>
      <c r="CU220" s="19"/>
      <c r="CV220" s="19"/>
      <c r="CW220" s="15"/>
      <c r="CX220" s="15"/>
      <c r="CY220" s="21"/>
      <c r="CZ220" s="15"/>
      <c r="DA220" s="15"/>
      <c r="DB220" s="15"/>
      <c r="DC220" s="15"/>
      <c r="DD220" s="10"/>
      <c r="DE220" s="10"/>
      <c r="DF220" s="10"/>
      <c r="DG220" s="9"/>
      <c r="DH220" s="10"/>
      <c r="DI220" s="10"/>
      <c r="DJ220" s="10"/>
      <c r="DK220" s="10"/>
      <c r="DL220" s="10"/>
      <c r="DM220" s="10"/>
      <c r="DN220" s="10"/>
      <c r="DO220" s="10"/>
      <c r="DP220" s="10"/>
      <c r="DQ220" s="10"/>
      <c r="DR220" s="10"/>
      <c r="DS220" s="10"/>
      <c r="DT220" s="10"/>
      <c r="DU220" s="10"/>
      <c r="DV220" s="10"/>
      <c r="DW220" s="10"/>
      <c r="DX220" s="10"/>
      <c r="DY220" s="10"/>
      <c r="DZ220" s="10"/>
      <c r="EA220" s="10"/>
      <c r="EB220" s="15"/>
      <c r="EC220" s="15"/>
      <c r="ED220" s="15"/>
      <c r="EE220" s="15"/>
      <c r="EF220" s="15"/>
      <c r="EG220" s="15"/>
      <c r="EH220" s="15"/>
      <c r="EI220" s="15"/>
      <c r="EJ220" s="15"/>
      <c r="EK220" s="15"/>
      <c r="EL220" s="15"/>
      <c r="EM220" s="15"/>
      <c r="EN220" s="15"/>
      <c r="EO220" s="15"/>
      <c r="EP220" s="15"/>
      <c r="EQ220" s="15"/>
      <c r="ER220" s="15"/>
      <c r="ES220" s="15"/>
      <c r="ET220" s="15"/>
      <c r="EU220" s="15"/>
      <c r="EV220" s="15"/>
      <c r="EW220" s="15"/>
      <c r="EX220" s="15"/>
      <c r="EY220" s="15"/>
      <c r="EZ220" s="15"/>
      <c r="FA220" s="15"/>
      <c r="FB220" s="15"/>
      <c r="FC220" s="15"/>
      <c r="FD220" s="15"/>
      <c r="FE220" s="15"/>
      <c r="FF220" s="15"/>
      <c r="FG220" s="15"/>
      <c r="FH220" s="15"/>
      <c r="FI220" s="15"/>
      <c r="FJ220" s="15"/>
      <c r="FK220" s="15"/>
      <c r="FL220" s="15"/>
      <c r="FM220" s="15"/>
      <c r="FN220" s="15"/>
      <c r="FO220" s="15"/>
    </row>
    <row r="221" spans="2:171" s="2" customFormat="1" ht="15" customHeight="1">
      <c r="B221" s="8" t="s">
        <v>191</v>
      </c>
      <c r="C221" s="2">
        <f>(3+24/60+20/3600)</f>
        <v>3.4055555555555554</v>
      </c>
      <c r="D221" s="2">
        <f>49+51.7/60</f>
        <v>49.861666666666665</v>
      </c>
      <c r="E221" s="17">
        <f t="shared" si="13"/>
        <v>308.57718029788481</v>
      </c>
      <c r="F221" s="17">
        <f t="shared" si="29"/>
        <v>49.951571070151161</v>
      </c>
      <c r="G221" s="17">
        <f t="shared" si="30"/>
        <v>-14.072369883828495</v>
      </c>
      <c r="H221" s="17">
        <f t="shared" si="31"/>
        <v>4.2833657197078132</v>
      </c>
      <c r="I221" s="19">
        <f t="shared" si="32"/>
        <v>308.57519427319585</v>
      </c>
      <c r="J221" s="19">
        <f t="shared" si="33"/>
        <v>49.950664916879674</v>
      </c>
      <c r="L221" s="20"/>
      <c r="N221" s="15"/>
      <c r="O221" s="24" t="s">
        <v>185</v>
      </c>
      <c r="P221" s="15">
        <v>0</v>
      </c>
      <c r="Q221" s="15"/>
      <c r="R221" s="15"/>
      <c r="S221" s="15"/>
      <c r="T221" s="15"/>
      <c r="U221" s="15"/>
      <c r="V221" s="15"/>
      <c r="W221" s="15"/>
      <c r="X221" s="15"/>
      <c r="Y221" s="15">
        <f>MOD(V$181+$U$5+I215,360)</f>
        <v>349.56352747779391</v>
      </c>
      <c r="Z221" s="15">
        <f>IF(Y221&gt;180,360-Y221,Y221)</f>
        <v>10.436472522206088</v>
      </c>
      <c r="AA221" s="15">
        <f>J215</f>
        <v>-34.368088833782252</v>
      </c>
      <c r="AB221" s="15">
        <f>IF(Y221&gt;90,IF(Y221&lt;270,1,0),0)</f>
        <v>0</v>
      </c>
      <c r="AC221" s="15">
        <f t="shared" si="14"/>
        <v>4.1209148169425882</v>
      </c>
      <c r="AD221" s="15">
        <f>IF(AB221=0,IF($S$4="N",-AC221,AC221),IF($S$4="N",AC221,-AC221))</f>
        <v>-4.1209148169425882</v>
      </c>
      <c r="AE221" s="15">
        <f>IF(AA221&gt;0,ABS(TAN(RADIANS(AA221))/SIN(RADIANS(Y221))),-ABS(TAN(RADIANS(AA221))/SIN(RADIANS(Y221))))</f>
        <v>-3.7754048469484336</v>
      </c>
      <c r="AF221" s="15">
        <f>AD221+AE221</f>
        <v>-7.8963196638910222</v>
      </c>
      <c r="AG221" s="15">
        <f>ABS(DEGREES(ATAN(1/(COS(RADIANS(ABS($U$4)))*AF221))))</f>
        <v>9.0339128486978257</v>
      </c>
      <c r="AH221" s="15">
        <f>IF(AF221&lt;0,IF(Y221&lt;180,180+AG221,180-AG221),IF(Y221&lt;180,360-AG221,AG221))</f>
        <v>170.96608715130216</v>
      </c>
      <c r="AI221" s="15">
        <f t="shared" si="15"/>
        <v>-71.568088833782255</v>
      </c>
      <c r="AJ221" s="21">
        <f t="shared" si="16"/>
        <v>17.7762368319232</v>
      </c>
      <c r="AK221" s="21">
        <f t="shared" si="17"/>
        <v>17.7762368319232</v>
      </c>
      <c r="AL221" s="8" t="s">
        <v>185</v>
      </c>
      <c r="AM221" s="21">
        <f t="shared" si="18"/>
        <v>170.96608715130216</v>
      </c>
      <c r="AN221" s="21">
        <f t="shared" si="19"/>
        <v>17.7762368319232</v>
      </c>
      <c r="AO221" s="21"/>
      <c r="AP221" s="21"/>
      <c r="AQ221" s="21"/>
      <c r="AR221" s="21"/>
      <c r="AS221" s="15"/>
      <c r="AT221" s="21"/>
      <c r="AU221" s="22"/>
      <c r="AV221" s="21"/>
      <c r="AW221" s="15"/>
      <c r="AX221" s="21"/>
      <c r="AY221" s="15"/>
      <c r="AZ221" s="15"/>
      <c r="BA221" s="15"/>
      <c r="BB221" s="15"/>
      <c r="BC221" s="15"/>
      <c r="BD221" s="19"/>
      <c r="BF221" s="19"/>
      <c r="BH221" s="19"/>
      <c r="BI221" s="19"/>
      <c r="BJ221" s="19"/>
      <c r="BK221" s="19"/>
      <c r="BL221" s="19"/>
      <c r="BN221" s="19"/>
      <c r="BO221" s="19"/>
      <c r="BP221" s="19"/>
      <c r="BQ221" s="19"/>
      <c r="BX221" s="19"/>
      <c r="BZ221" s="19"/>
      <c r="CA221" s="19"/>
      <c r="CB221" s="19"/>
      <c r="CC221" s="19"/>
      <c r="CD221" s="19"/>
      <c r="CE221" s="19"/>
      <c r="CF221" s="19"/>
      <c r="CG221" s="19"/>
      <c r="CH221" s="19"/>
      <c r="CI221" s="19"/>
      <c r="CJ221" s="19"/>
      <c r="CL221" s="19"/>
      <c r="CM221" s="19"/>
      <c r="CN221" s="19"/>
      <c r="CO221" s="19"/>
      <c r="CP221" s="19"/>
      <c r="CR221" s="19"/>
      <c r="CS221" s="19"/>
      <c r="CT221" s="19"/>
      <c r="CU221" s="19"/>
      <c r="CV221" s="19"/>
      <c r="CW221" s="15"/>
      <c r="CX221" s="15"/>
      <c r="CY221" s="21"/>
      <c r="CZ221" s="15"/>
      <c r="DA221" s="15"/>
      <c r="DB221" s="15"/>
      <c r="DC221" s="15"/>
      <c r="DD221" s="10"/>
      <c r="DE221" s="10"/>
      <c r="DF221" s="10"/>
      <c r="DG221" s="9"/>
      <c r="DH221" s="10"/>
      <c r="DI221" s="10"/>
      <c r="DJ221" s="10"/>
      <c r="DK221" s="10"/>
      <c r="DL221" s="10"/>
      <c r="DM221" s="10"/>
      <c r="DN221" s="10"/>
      <c r="DO221" s="10"/>
      <c r="DP221" s="10"/>
      <c r="DQ221" s="10"/>
      <c r="DR221" s="10"/>
      <c r="DS221" s="10"/>
      <c r="DT221" s="10"/>
      <c r="DU221" s="10"/>
      <c r="DV221" s="10"/>
      <c r="DW221" s="10"/>
      <c r="DX221" s="10"/>
      <c r="DY221" s="10"/>
      <c r="DZ221" s="10"/>
      <c r="EA221" s="10"/>
      <c r="EB221" s="15"/>
      <c r="EC221" s="15"/>
      <c r="ED221" s="15"/>
      <c r="EE221" s="15"/>
      <c r="EF221" s="15"/>
      <c r="EG221" s="15"/>
      <c r="EH221" s="15"/>
      <c r="EI221" s="15"/>
      <c r="EJ221" s="15"/>
      <c r="EK221" s="15"/>
      <c r="EL221" s="15"/>
      <c r="EM221" s="15"/>
      <c r="EN221" s="15"/>
      <c r="EO221" s="15"/>
      <c r="EP221" s="15"/>
      <c r="EQ221" s="15"/>
      <c r="ER221" s="15"/>
      <c r="ES221" s="15"/>
      <c r="ET221" s="15"/>
      <c r="EU221" s="15"/>
      <c r="EV221" s="15"/>
      <c r="EW221" s="15"/>
      <c r="EX221" s="15"/>
      <c r="EY221" s="15"/>
      <c r="EZ221" s="15"/>
      <c r="FA221" s="15"/>
      <c r="FB221" s="15"/>
      <c r="FC221" s="15"/>
      <c r="FD221" s="15"/>
      <c r="FE221" s="15"/>
      <c r="FF221" s="15"/>
      <c r="FG221" s="15"/>
      <c r="FH221" s="15"/>
      <c r="FI221" s="15"/>
      <c r="FJ221" s="15"/>
      <c r="FK221" s="15"/>
      <c r="FL221" s="15"/>
      <c r="FM221" s="15"/>
      <c r="FN221" s="15"/>
      <c r="FO221" s="15"/>
    </row>
    <row r="222" spans="2:171" s="2" customFormat="1" ht="15" customHeight="1">
      <c r="B222" s="8" t="s">
        <v>192</v>
      </c>
      <c r="C222" s="2">
        <f>(18+55/60+13/3600)</f>
        <v>18.92027777777778</v>
      </c>
      <c r="D222" s="2">
        <f>-26-17.7/60</f>
        <v>-26.295000000000002</v>
      </c>
      <c r="E222" s="17">
        <f t="shared" si="13"/>
        <v>75.889359415941726</v>
      </c>
      <c r="F222" s="17">
        <f t="shared" si="29"/>
        <v>-26.260851768547138</v>
      </c>
      <c r="G222" s="17">
        <f t="shared" si="30"/>
        <v>-14.072369883828495</v>
      </c>
      <c r="H222" s="17">
        <f t="shared" si="31"/>
        <v>4.2833657197078132</v>
      </c>
      <c r="I222" s="19">
        <f t="shared" si="32"/>
        <v>75.890749217477591</v>
      </c>
      <c r="J222" s="19">
        <f t="shared" si="33"/>
        <v>-26.26083699412003</v>
      </c>
      <c r="L222" s="20"/>
      <c r="N222" s="15"/>
      <c r="O222" s="24" t="s">
        <v>186</v>
      </c>
      <c r="P222" s="15">
        <v>0</v>
      </c>
      <c r="Q222" s="15"/>
      <c r="R222" s="15"/>
      <c r="S222" s="15"/>
      <c r="T222" s="15"/>
      <c r="U222" s="15"/>
      <c r="V222" s="15"/>
      <c r="W222" s="15"/>
      <c r="X222" s="15"/>
      <c r="Y222" s="15">
        <f>MOD(V$181+$U$5+I216,360)</f>
        <v>42.7719423995228</v>
      </c>
      <c r="Z222" s="15">
        <f>IF(Y222&gt;180,360-Y222,Y222)</f>
        <v>42.7719423995228</v>
      </c>
      <c r="AA222" s="15">
        <f>J216</f>
        <v>74.049539574123543</v>
      </c>
      <c r="AB222" s="15">
        <f>IF(Y222&gt;90,IF(Y222&lt;270,1,0),0)</f>
        <v>0</v>
      </c>
      <c r="AC222" s="15">
        <f t="shared" si="14"/>
        <v>0.82049565407178915</v>
      </c>
      <c r="AD222" s="15">
        <f>IF(AB222=0,IF($S$4="N",-AC222,AC222),IF($S$4="N",AC222,-AC222))</f>
        <v>-0.82049565407178915</v>
      </c>
      <c r="AE222" s="15">
        <f>IF(AA222&gt;0,ABS(TAN(RADIANS(AA222))/SIN(RADIANS(Y222))),-ABS(TAN(RADIANS(AA222))/SIN(RADIANS(Y222))))</f>
        <v>5.1522932235148122</v>
      </c>
      <c r="AF222" s="15">
        <f>AD222+AE222</f>
        <v>4.3317975694430233</v>
      </c>
      <c r="AG222" s="15">
        <f>ABS(DEGREES(ATAN(1/(COS(RADIANS(ABS($U$4)))*AF222))))</f>
        <v>16.162694823737546</v>
      </c>
      <c r="AH222" s="15">
        <f>IF(AF222&lt;0,IF(Y222&lt;180,180+AG222,180-AG222),IF(Y222&lt;180,360-AG222,AG222))</f>
        <v>343.83730517626248</v>
      </c>
      <c r="AI222" s="15">
        <f t="shared" si="15"/>
        <v>36.84953957412354</v>
      </c>
      <c r="AJ222" s="21">
        <f t="shared" si="16"/>
        <v>47.902212938447306</v>
      </c>
      <c r="AK222" s="21">
        <f t="shared" si="17"/>
        <v>47.902212938447306</v>
      </c>
      <c r="AL222" s="8" t="s">
        <v>186</v>
      </c>
      <c r="AM222" s="21">
        <f t="shared" si="18"/>
        <v>343.83730517626248</v>
      </c>
      <c r="AN222" s="21">
        <f t="shared" si="19"/>
        <v>47.902212938447306</v>
      </c>
      <c r="AO222" s="21"/>
      <c r="AP222" s="21"/>
      <c r="AQ222" s="21"/>
      <c r="AR222" s="21"/>
      <c r="AS222" s="15"/>
      <c r="AT222" s="21"/>
      <c r="AU222" s="22"/>
      <c r="AV222" s="21"/>
      <c r="AW222" s="15"/>
      <c r="AX222" s="21"/>
      <c r="AY222" s="15"/>
      <c r="AZ222" s="15"/>
      <c r="BA222" s="15"/>
      <c r="BB222" s="15"/>
      <c r="BC222" s="15"/>
      <c r="BD222" s="19"/>
      <c r="BF222" s="19"/>
      <c r="BH222" s="19"/>
      <c r="BI222" s="19"/>
      <c r="BJ222" s="19"/>
      <c r="BK222" s="19"/>
      <c r="BL222" s="19"/>
      <c r="BN222" s="19"/>
      <c r="BO222" s="19"/>
      <c r="BP222" s="19"/>
      <c r="BQ222" s="19"/>
      <c r="BX222" s="19"/>
      <c r="BZ222" s="19"/>
      <c r="CA222" s="19"/>
      <c r="CB222" s="19"/>
      <c r="CC222" s="19"/>
      <c r="CD222" s="19"/>
      <c r="CE222" s="19"/>
      <c r="CF222" s="19"/>
      <c r="CG222" s="19"/>
      <c r="CH222" s="19"/>
      <c r="CI222" s="19"/>
      <c r="CJ222" s="19"/>
      <c r="CL222" s="19"/>
      <c r="CM222" s="19"/>
      <c r="CN222" s="19"/>
      <c r="CO222" s="19"/>
      <c r="CP222" s="19"/>
      <c r="CR222" s="19"/>
      <c r="CS222" s="19"/>
      <c r="CT222" s="19"/>
      <c r="CU222" s="19"/>
      <c r="CV222" s="19"/>
      <c r="CW222" s="15"/>
      <c r="CX222" s="15"/>
      <c r="CY222" s="21"/>
      <c r="CZ222" s="15"/>
      <c r="DA222" s="15"/>
      <c r="DB222" s="15"/>
      <c r="DC222" s="15"/>
      <c r="DD222" s="10"/>
      <c r="DE222" s="10"/>
      <c r="DF222" s="10"/>
      <c r="DG222" s="9"/>
      <c r="DH222" s="10"/>
      <c r="DI222" s="10"/>
      <c r="DJ222" s="10"/>
      <c r="DK222" s="10"/>
      <c r="DL222" s="10"/>
      <c r="DM222" s="10"/>
      <c r="DN222" s="10"/>
      <c r="DO222" s="10"/>
      <c r="DP222" s="10"/>
      <c r="DQ222" s="10"/>
      <c r="DR222" s="10"/>
      <c r="DS222" s="10"/>
      <c r="DT222" s="10"/>
      <c r="DU222" s="10"/>
      <c r="DV222" s="10"/>
      <c r="DW222" s="10"/>
      <c r="DX222" s="10"/>
      <c r="DY222" s="10"/>
      <c r="DZ222" s="10"/>
      <c r="EA222" s="10"/>
      <c r="EB222" s="15"/>
      <c r="EC222" s="15"/>
      <c r="ED222" s="15"/>
      <c r="EE222" s="15"/>
      <c r="EF222" s="15"/>
      <c r="EG222" s="15"/>
      <c r="EH222" s="15"/>
      <c r="EI222" s="15"/>
      <c r="EJ222" s="15"/>
      <c r="EK222" s="15"/>
      <c r="EL222" s="15"/>
      <c r="EM222" s="15"/>
      <c r="EN222" s="15"/>
      <c r="EO222" s="15"/>
      <c r="EP222" s="15"/>
      <c r="EQ222" s="15"/>
      <c r="ER222" s="15"/>
      <c r="ES222" s="15"/>
      <c r="ET222" s="15"/>
      <c r="EU222" s="15"/>
      <c r="EV222" s="15"/>
      <c r="EW222" s="15"/>
      <c r="EX222" s="15"/>
      <c r="EY222" s="15"/>
      <c r="EZ222" s="15"/>
      <c r="FA222" s="15"/>
      <c r="FB222" s="15"/>
      <c r="FC222" s="15"/>
      <c r="FD222" s="15"/>
      <c r="FE222" s="15"/>
      <c r="FF222" s="15"/>
      <c r="FG222" s="15"/>
      <c r="FH222" s="15"/>
      <c r="FI222" s="15"/>
      <c r="FJ222" s="15"/>
      <c r="FK222" s="15"/>
      <c r="FL222" s="15"/>
      <c r="FM222" s="15"/>
      <c r="FN222" s="15"/>
      <c r="FO222" s="15"/>
    </row>
    <row r="223" spans="2:171" s="2" customFormat="1" ht="15" customHeight="1">
      <c r="B223" s="8" t="s">
        <v>193</v>
      </c>
      <c r="C223" s="2">
        <f>(20+25/60+35/3600)</f>
        <v>20.426388888888891</v>
      </c>
      <c r="D223" s="2">
        <f>-56-44.2/60</f>
        <v>-56.736666666666665</v>
      </c>
      <c r="E223" s="17">
        <f t="shared" si="13"/>
        <v>53.350907666406385</v>
      </c>
      <c r="F223" s="17">
        <f t="shared" si="29"/>
        <v>-56.651746883932901</v>
      </c>
      <c r="G223" s="17">
        <f t="shared" si="30"/>
        <v>-14.072369883828495</v>
      </c>
      <c r="H223" s="17">
        <f t="shared" si="31"/>
        <v>4.2833657197078132</v>
      </c>
      <c r="I223" s="19">
        <f t="shared" si="32"/>
        <v>53.353725102719324</v>
      </c>
      <c r="J223" s="19">
        <f t="shared" si="33"/>
        <v>-56.652254304514599</v>
      </c>
      <c r="L223" s="20"/>
      <c r="N223" s="15"/>
      <c r="O223" s="24" t="s">
        <v>187</v>
      </c>
      <c r="P223" s="15">
        <v>0</v>
      </c>
      <c r="Q223" s="15"/>
      <c r="R223" s="15"/>
      <c r="S223" s="15"/>
      <c r="T223" s="15"/>
      <c r="U223" s="15"/>
      <c r="V223" s="15"/>
      <c r="W223" s="15"/>
      <c r="X223" s="15"/>
      <c r="Y223" s="15">
        <f>MOD(V$181+$U$5+I217,360)</f>
        <v>279.36148707461518</v>
      </c>
      <c r="Z223" s="15">
        <f>IF(Y223&gt;180,360-Y223,Y223)</f>
        <v>80.638512925384816</v>
      </c>
      <c r="AA223" s="15">
        <f>J217</f>
        <v>15.342932015065983</v>
      </c>
      <c r="AB223" s="15">
        <f>IF(Y223&gt;90,IF(Y223&lt;270,1,0),0)</f>
        <v>0</v>
      </c>
      <c r="AC223" s="15">
        <f t="shared" si="14"/>
        <v>0.12513433933585502</v>
      </c>
      <c r="AD223" s="15">
        <f>IF(AB223=0,IF($S$4="N",-AC223,AC223),IF($S$4="N",AC223,-AC223))</f>
        <v>-0.12513433933585502</v>
      </c>
      <c r="AE223" s="15">
        <f>IF(AA223&gt;0,ABS(TAN(RADIANS(AA223))/SIN(RADIANS(Y223))),-ABS(TAN(RADIANS(AA223))/SIN(RADIANS(Y223))))</f>
        <v>0.2780781127883003</v>
      </c>
      <c r="AF223" s="15">
        <f>AD223+AE223</f>
        <v>0.15294377345244528</v>
      </c>
      <c r="AG223" s="15">
        <f>ABS(DEGREES(ATAN(1/(COS(RADIANS(ABS($U$4)))*AF223))))</f>
        <v>83.054208518558795</v>
      </c>
      <c r="AH223" s="15">
        <f>IF(AF223&lt;0,IF(Y223&lt;180,180+AG223,180-AG223),IF(Y223&lt;180,360-AG223,AG223))</f>
        <v>83.054208518558795</v>
      </c>
      <c r="AI223" s="15">
        <f t="shared" si="15"/>
        <v>-21.857067984934019</v>
      </c>
      <c r="AJ223" s="21">
        <f t="shared" si="16"/>
        <v>16.554204619448551</v>
      </c>
      <c r="AK223" s="21">
        <f t="shared" si="17"/>
        <v>16.554204619448551</v>
      </c>
      <c r="AL223" s="8" t="s">
        <v>187</v>
      </c>
      <c r="AM223" s="21">
        <f t="shared" si="18"/>
        <v>83.054208518558795</v>
      </c>
      <c r="AN223" s="21">
        <f t="shared" si="19"/>
        <v>16.554204619448551</v>
      </c>
      <c r="AO223" s="21"/>
      <c r="AP223" s="21"/>
      <c r="AQ223" s="21"/>
      <c r="AR223" s="21"/>
      <c r="AS223" s="15"/>
      <c r="AT223" s="21"/>
      <c r="AU223" s="22"/>
      <c r="AV223" s="21"/>
      <c r="AW223" s="15"/>
      <c r="AX223" s="21"/>
      <c r="AY223" s="15"/>
      <c r="AZ223" s="15"/>
      <c r="BA223" s="15"/>
      <c r="BB223" s="15"/>
      <c r="BC223" s="15"/>
      <c r="BD223" s="19"/>
      <c r="BF223" s="19"/>
      <c r="BH223" s="19"/>
      <c r="BI223" s="19"/>
      <c r="BJ223" s="19"/>
      <c r="BK223" s="19"/>
      <c r="BL223" s="19"/>
      <c r="BN223" s="19"/>
      <c r="BO223" s="19"/>
      <c r="BP223" s="19"/>
      <c r="BQ223" s="19"/>
      <c r="BX223" s="19"/>
      <c r="BZ223" s="19"/>
      <c r="CA223" s="19"/>
      <c r="CB223" s="19"/>
      <c r="CC223" s="19"/>
      <c r="CD223" s="19"/>
      <c r="CE223" s="19"/>
      <c r="CF223" s="19"/>
      <c r="CG223" s="19"/>
      <c r="CH223" s="19"/>
      <c r="CI223" s="19"/>
      <c r="CJ223" s="19"/>
      <c r="CL223" s="19"/>
      <c r="CM223" s="19"/>
      <c r="CN223" s="19"/>
      <c r="CO223" s="19"/>
      <c r="CP223" s="19"/>
      <c r="CR223" s="19"/>
      <c r="CS223" s="19"/>
      <c r="CT223" s="19"/>
      <c r="CU223" s="19"/>
      <c r="CV223" s="19"/>
      <c r="CW223" s="15"/>
      <c r="CX223" s="15"/>
      <c r="CY223" s="21"/>
      <c r="CZ223" s="15"/>
      <c r="DA223" s="15"/>
      <c r="DB223" s="15"/>
      <c r="DC223" s="15"/>
      <c r="DD223" s="10"/>
      <c r="DE223" s="10"/>
      <c r="DF223" s="10"/>
      <c r="DG223" s="9"/>
      <c r="DH223" s="10"/>
      <c r="DI223" s="10"/>
      <c r="DJ223" s="10"/>
      <c r="DK223" s="10"/>
      <c r="DL223" s="10"/>
      <c r="DM223" s="10"/>
      <c r="DN223" s="10"/>
      <c r="DO223" s="10"/>
      <c r="DP223" s="10"/>
      <c r="DQ223" s="10"/>
      <c r="DR223" s="10"/>
      <c r="DS223" s="10"/>
      <c r="DT223" s="10"/>
      <c r="DU223" s="10"/>
      <c r="DV223" s="10"/>
      <c r="DW223" s="10"/>
      <c r="DX223" s="10"/>
      <c r="DY223" s="10"/>
      <c r="DZ223" s="10"/>
      <c r="EA223" s="10"/>
      <c r="EB223" s="15"/>
      <c r="EC223" s="15"/>
      <c r="ED223" s="15"/>
      <c r="EE223" s="15"/>
      <c r="EF223" s="15"/>
      <c r="EG223" s="15"/>
      <c r="EH223" s="15"/>
      <c r="EI223" s="15"/>
      <c r="EJ223" s="15"/>
      <c r="EK223" s="15"/>
      <c r="EL223" s="15"/>
      <c r="EM223" s="15"/>
      <c r="EN223" s="15"/>
      <c r="EO223" s="15"/>
      <c r="EP223" s="15"/>
      <c r="EQ223" s="15"/>
      <c r="ER223" s="15"/>
      <c r="ES223" s="15"/>
      <c r="ET223" s="15"/>
      <c r="EU223" s="15"/>
      <c r="EV223" s="15"/>
      <c r="EW223" s="15"/>
      <c r="EX223" s="15"/>
      <c r="EY223" s="15"/>
      <c r="EZ223" s="15"/>
      <c r="FA223" s="15"/>
      <c r="FB223" s="15"/>
      <c r="FC223" s="15"/>
      <c r="FD223" s="15"/>
      <c r="FE223" s="15"/>
      <c r="FF223" s="15"/>
      <c r="FG223" s="15"/>
      <c r="FH223" s="15"/>
      <c r="FI223" s="15"/>
      <c r="FJ223" s="15"/>
      <c r="FK223" s="15"/>
      <c r="FL223" s="15"/>
      <c r="FM223" s="15"/>
      <c r="FN223" s="15"/>
      <c r="FO223" s="15"/>
    </row>
    <row r="224" spans="2:171" s="2" customFormat="1" ht="15" customHeight="1">
      <c r="B224" s="8" t="s">
        <v>194</v>
      </c>
      <c r="C224" s="2">
        <f>(7+45/60+20/3600)</f>
        <v>7.7555555555555555</v>
      </c>
      <c r="D224" s="2">
        <f>28+1.5/60</f>
        <v>28.024999999999999</v>
      </c>
      <c r="E224" s="17">
        <f t="shared" si="13"/>
        <v>243.32698274950488</v>
      </c>
      <c r="F224" s="17">
        <f t="shared" si="29"/>
        <v>27.961514475388245</v>
      </c>
      <c r="G224" s="17">
        <f t="shared" si="30"/>
        <v>-14.072369883828495</v>
      </c>
      <c r="H224" s="17">
        <f t="shared" si="31"/>
        <v>4.2833657197078132</v>
      </c>
      <c r="I224" s="19">
        <f t="shared" si="32"/>
        <v>243.32614657231395</v>
      </c>
      <c r="J224" s="19">
        <f t="shared" si="33"/>
        <v>27.96236482376516</v>
      </c>
      <c r="L224" s="20"/>
      <c r="N224" s="15"/>
      <c r="O224" s="24" t="s">
        <v>234</v>
      </c>
      <c r="P224" s="15">
        <v>1</v>
      </c>
      <c r="Q224" s="15">
        <f>EJ181</f>
        <v>11.804519312435787</v>
      </c>
      <c r="R224" s="15">
        <f>EJ182</f>
        <v>359.29162698432515</v>
      </c>
      <c r="S224" s="15">
        <f>EJ183</f>
        <v>14.307097513198471</v>
      </c>
      <c r="T224" s="15">
        <f>EI181</f>
        <v>-8.5132230406719387</v>
      </c>
      <c r="U224" s="15">
        <f>EI182</f>
        <v>-8.5043439960205927</v>
      </c>
      <c r="V224" s="15">
        <f>EI183</f>
        <v>-8.5149987613295259</v>
      </c>
      <c r="W224" s="15"/>
      <c r="X224" s="15"/>
      <c r="Y224" s="15">
        <f>MOD(Q224+$U$5,360)</f>
        <v>65.304519312435787</v>
      </c>
      <c r="Z224" s="15">
        <f>IF(Y224&gt;180,360-Y224,Y224)</f>
        <v>65.304519312435787</v>
      </c>
      <c r="AA224" s="15">
        <f>T224</f>
        <v>-8.5132230406719387</v>
      </c>
      <c r="AB224" s="15">
        <f>IF(Y224&gt;90,IF(Y224&lt;270,1,0),0)</f>
        <v>0</v>
      </c>
      <c r="AC224" s="15">
        <f t="shared" si="14"/>
        <v>0.34904746316930296</v>
      </c>
      <c r="AD224" s="15">
        <f>IF(AB224=0,IF($S$4="N",-AC224,AC224),IF($S$4="N",AC224,-AC224))</f>
        <v>-0.34904746316930296</v>
      </c>
      <c r="AE224" s="15">
        <f>IF(AA224&gt;0,ABS(TAN(RADIANS(AA224))/SIN(RADIANS(Y224))),-ABS(TAN(RADIANS(AA224))/SIN(RADIANS(Y224))))</f>
        <v>-0.16475528085395069</v>
      </c>
      <c r="AF224" s="15">
        <f>AD224+AE224</f>
        <v>-0.51380274402325365</v>
      </c>
      <c r="AG224" s="15">
        <f>ABS(DEGREES(ATAN(1/(COS(RADIANS(ABS($U$4)))*AF224))))</f>
        <v>67.742714001340133</v>
      </c>
      <c r="AH224" s="15">
        <f>IF(AF224&lt;0,IF(Y224&lt;180,180+AG224,180-AG224),IF(Y224&lt;180,360-AG224,AG224))</f>
        <v>247.74271400134012</v>
      </c>
      <c r="AI224" s="15">
        <f t="shared" si="15"/>
        <v>-45.713223040671942</v>
      </c>
      <c r="AJ224" s="21">
        <f t="shared" si="16"/>
        <v>13.863899606912542</v>
      </c>
      <c r="AK224" s="21">
        <f t="shared" si="17"/>
        <v>13.863899606912542</v>
      </c>
      <c r="AL224" s="8" t="s">
        <v>234</v>
      </c>
      <c r="AM224" s="21">
        <f t="shared" si="18"/>
        <v>247.74271400134012</v>
      </c>
      <c r="AN224" s="21">
        <f t="shared" si="19"/>
        <v>13.863899606912542</v>
      </c>
      <c r="AO224" s="21"/>
      <c r="AP224" s="21"/>
      <c r="AQ224" s="21"/>
      <c r="AR224" s="21"/>
      <c r="AS224" s="15"/>
      <c r="AT224" s="21"/>
      <c r="AU224" s="22"/>
      <c r="AV224" s="21"/>
      <c r="AW224" s="15"/>
      <c r="AX224" s="21"/>
      <c r="AY224" s="15"/>
      <c r="AZ224" s="15"/>
      <c r="BA224" s="15"/>
      <c r="BB224" s="15"/>
      <c r="BC224" s="15"/>
      <c r="BD224" s="19"/>
      <c r="BF224" s="19"/>
      <c r="BH224" s="19"/>
      <c r="BI224" s="19"/>
      <c r="BJ224" s="19"/>
      <c r="BK224" s="19"/>
      <c r="BL224" s="19"/>
      <c r="BN224" s="19"/>
      <c r="BO224" s="19"/>
      <c r="BP224" s="19"/>
      <c r="BQ224" s="19"/>
      <c r="BX224" s="19"/>
      <c r="BZ224" s="19"/>
      <c r="CA224" s="19"/>
      <c r="CB224" s="19"/>
      <c r="CC224" s="19"/>
      <c r="CD224" s="19"/>
      <c r="CE224" s="19"/>
      <c r="CF224" s="19"/>
      <c r="CG224" s="19"/>
      <c r="CH224" s="19"/>
      <c r="CI224" s="19"/>
      <c r="CJ224" s="19"/>
      <c r="CL224" s="19"/>
      <c r="CM224" s="19"/>
      <c r="CN224" s="19"/>
      <c r="CO224" s="19"/>
      <c r="CP224" s="19"/>
      <c r="CR224" s="19"/>
      <c r="CS224" s="19"/>
      <c r="CT224" s="19"/>
      <c r="CU224" s="19"/>
      <c r="CV224" s="19"/>
      <c r="CW224" s="15"/>
      <c r="CX224" s="15"/>
      <c r="CY224" s="21"/>
      <c r="CZ224" s="15"/>
      <c r="DA224" s="15"/>
      <c r="DB224" s="15"/>
      <c r="DC224" s="15"/>
      <c r="DD224" s="10"/>
      <c r="DE224" s="10"/>
      <c r="DF224" s="10"/>
      <c r="DG224" s="9"/>
      <c r="DH224" s="10"/>
      <c r="DI224" s="10"/>
      <c r="DJ224" s="10"/>
      <c r="DK224" s="10"/>
      <c r="DL224" s="10"/>
      <c r="DM224" s="10"/>
      <c r="DN224" s="10"/>
      <c r="DO224" s="10"/>
      <c r="DP224" s="10"/>
      <c r="DQ224" s="10"/>
      <c r="DR224" s="10"/>
      <c r="DS224" s="10"/>
      <c r="DT224" s="10"/>
      <c r="DU224" s="10"/>
      <c r="DV224" s="10"/>
      <c r="DW224" s="10"/>
      <c r="DX224" s="10"/>
      <c r="DY224" s="10"/>
      <c r="DZ224" s="10"/>
      <c r="EA224" s="10"/>
      <c r="EB224" s="15"/>
      <c r="EC224" s="15"/>
      <c r="ED224" s="15"/>
      <c r="EE224" s="15"/>
      <c r="EF224" s="15"/>
      <c r="EG224" s="15"/>
      <c r="EH224" s="15"/>
      <c r="EI224" s="15"/>
      <c r="EJ224" s="15"/>
      <c r="EK224" s="15"/>
      <c r="EL224" s="15"/>
      <c r="EM224" s="15"/>
      <c r="EN224" s="15"/>
      <c r="EO224" s="15"/>
      <c r="EP224" s="15"/>
      <c r="EQ224" s="15"/>
      <c r="ER224" s="15"/>
      <c r="ES224" s="15"/>
      <c r="ET224" s="15"/>
      <c r="EU224" s="15"/>
      <c r="EV224" s="15"/>
      <c r="EW224" s="15"/>
      <c r="EX224" s="15"/>
      <c r="EY224" s="15"/>
      <c r="EZ224" s="15"/>
      <c r="FA224" s="15"/>
      <c r="FB224" s="15"/>
      <c r="FC224" s="15"/>
      <c r="FD224" s="15"/>
      <c r="FE224" s="15"/>
      <c r="FF224" s="15"/>
      <c r="FG224" s="15"/>
      <c r="FH224" s="15"/>
      <c r="FI224" s="15"/>
      <c r="FJ224" s="15"/>
      <c r="FK224" s="15"/>
      <c r="FL224" s="15"/>
      <c r="FM224" s="15"/>
      <c r="FN224" s="15"/>
      <c r="FO224" s="15"/>
    </row>
    <row r="225" spans="2:176" s="2" customFormat="1" ht="15" customHeight="1">
      <c r="B225" s="8" t="s">
        <v>195</v>
      </c>
      <c r="C225" s="2">
        <f>(7+39/60+19/3600)</f>
        <v>7.6552777777777781</v>
      </c>
      <c r="D225" s="2">
        <f>5+13.5/60</f>
        <v>5.2249999999999996</v>
      </c>
      <c r="E225" s="17">
        <f t="shared" si="13"/>
        <v>244.83968578912129</v>
      </c>
      <c r="F225" s="17">
        <f t="shared" si="29"/>
        <v>5.1649032693714583</v>
      </c>
      <c r="G225" s="17">
        <f t="shared" si="30"/>
        <v>-14.072369883828495</v>
      </c>
      <c r="H225" s="17">
        <f t="shared" si="31"/>
        <v>4.2833657197078132</v>
      </c>
      <c r="I225" s="19">
        <f t="shared" si="32"/>
        <v>244.83970294253371</v>
      </c>
      <c r="J225" s="19">
        <f t="shared" si="33"/>
        <v>5.1657147341021119</v>
      </c>
      <c r="L225" s="20"/>
      <c r="N225" s="15"/>
      <c r="O225" s="24" t="s">
        <v>188</v>
      </c>
      <c r="P225" s="15">
        <v>0</v>
      </c>
      <c r="Q225" s="15"/>
      <c r="R225" s="15"/>
      <c r="S225" s="15"/>
      <c r="T225" s="15"/>
      <c r="U225" s="15"/>
      <c r="V225" s="15"/>
      <c r="W225" s="15"/>
      <c r="X225" s="15"/>
      <c r="Y225" s="15">
        <f t="shared" ref="Y225:Y237" si="34">MOD(V$181+$U$5+I218,360)</f>
        <v>219.99041007507458</v>
      </c>
      <c r="Z225" s="15">
        <f t="shared" ref="Z225:Z237" si="35">IF(Y225&gt;180,360-Y225,Y225)</f>
        <v>140.00958992492542</v>
      </c>
      <c r="AA225" s="15">
        <f>J218</f>
        <v>4.1858267430667491</v>
      </c>
      <c r="AB225" s="15">
        <f t="shared" ref="AB225:AB237" si="36">IF(Y225&gt;90,IF(Y225&lt;270,1,0),0)</f>
        <v>1</v>
      </c>
      <c r="AC225" s="15">
        <f t="shared" si="14"/>
        <v>0.90489775744181022</v>
      </c>
      <c r="AD225" s="15">
        <f t="shared" ref="AD225:AD237" si="37">IF(AB225=0,IF($S$4="N",-AC225,AC225),IF($S$4="N",AC225,-AC225))</f>
        <v>0.90489775744181022</v>
      </c>
      <c r="AE225" s="15">
        <f t="shared" ref="AE225:AE237" si="38">IF(AA225&gt;0,ABS(TAN(RADIANS(AA225))/SIN(RADIANS(Y225))),-ABS(TAN(RADIANS(AA225))/SIN(RADIANS(Y225))))</f>
        <v>0.11388102623051234</v>
      </c>
      <c r="AF225" s="15">
        <f t="shared" ref="AF225:AF237" si="39">AD225+AE225</f>
        <v>1.0187787836723226</v>
      </c>
      <c r="AG225" s="15">
        <f t="shared" ref="AG225:AG237" si="40">ABS(DEGREES(ATAN(1/(COS(RADIANS(ABS($U$4)))*AF225))))</f>
        <v>50.941092409402287</v>
      </c>
      <c r="AH225" s="15">
        <f t="shared" ref="AH225:AH237" si="41">IF(AF225&lt;0,IF(Y225&lt;180,180+AG225,180-AG225),IF(Y225&lt;180,360-AG225,AG225))</f>
        <v>50.941092409402287</v>
      </c>
      <c r="AI225" s="15">
        <f t="shared" si="15"/>
        <v>-33.014173256933255</v>
      </c>
      <c r="AJ225" s="21">
        <f t="shared" si="16"/>
        <v>-34.367895375700456</v>
      </c>
      <c r="AK225" s="21">
        <f t="shared" si="17"/>
        <v>-34.367895375700456</v>
      </c>
      <c r="AL225" s="8" t="s">
        <v>188</v>
      </c>
      <c r="AM225" s="21">
        <f t="shared" si="18"/>
        <v>50.941092409402287</v>
      </c>
      <c r="AN225" s="21">
        <f t="shared" si="19"/>
        <v>-34.367895375700456</v>
      </c>
      <c r="AO225" s="21"/>
      <c r="AP225" s="21"/>
      <c r="AQ225" s="21"/>
      <c r="AR225" s="21"/>
      <c r="AS225" s="15"/>
      <c r="AT225" s="21"/>
      <c r="AU225" s="22"/>
      <c r="AV225" s="21"/>
      <c r="AW225" s="15"/>
      <c r="AX225" s="21"/>
      <c r="AY225" s="15"/>
      <c r="AZ225" s="15"/>
      <c r="BA225" s="15"/>
      <c r="BB225" s="15"/>
      <c r="BC225" s="15"/>
      <c r="BD225" s="19"/>
      <c r="BF225" s="19"/>
      <c r="BH225" s="19"/>
      <c r="BI225" s="19"/>
      <c r="BJ225" s="19"/>
      <c r="BK225" s="19"/>
      <c r="BL225" s="19"/>
      <c r="BN225" s="19"/>
      <c r="BO225" s="19"/>
      <c r="BP225" s="19"/>
      <c r="BQ225" s="19"/>
      <c r="BX225" s="19"/>
      <c r="BZ225" s="19"/>
      <c r="CA225" s="19"/>
      <c r="CB225" s="19"/>
      <c r="CC225" s="19"/>
      <c r="CD225" s="19"/>
      <c r="CE225" s="19"/>
      <c r="CF225" s="19"/>
      <c r="CG225" s="19"/>
      <c r="CH225" s="19"/>
      <c r="CI225" s="19"/>
      <c r="CJ225" s="19"/>
      <c r="CL225" s="19"/>
      <c r="CM225" s="19"/>
      <c r="CN225" s="19"/>
      <c r="CO225" s="19"/>
      <c r="CP225" s="19"/>
      <c r="CR225" s="19"/>
      <c r="CS225" s="19"/>
      <c r="CT225" s="19"/>
      <c r="CU225" s="19"/>
      <c r="CV225" s="19"/>
      <c r="CW225" s="15"/>
      <c r="CX225" s="15"/>
      <c r="CY225" s="21"/>
      <c r="CZ225" s="15"/>
      <c r="DA225" s="15"/>
      <c r="DB225" s="15"/>
      <c r="DC225" s="15"/>
      <c r="DD225" s="10"/>
      <c r="DE225" s="10"/>
      <c r="DF225" s="10"/>
      <c r="DG225" s="9"/>
      <c r="DH225" s="10"/>
      <c r="DI225" s="10"/>
      <c r="DJ225" s="10"/>
      <c r="DK225" s="10"/>
      <c r="DL225" s="10"/>
      <c r="DM225" s="10"/>
      <c r="DN225" s="10"/>
      <c r="DO225" s="10"/>
      <c r="DP225" s="10"/>
      <c r="DQ225" s="10"/>
      <c r="DR225" s="10"/>
      <c r="DS225" s="10"/>
      <c r="DT225" s="10"/>
      <c r="DU225" s="10"/>
      <c r="DV225" s="10"/>
      <c r="DW225" s="10"/>
      <c r="DX225" s="10"/>
      <c r="DY225" s="10"/>
      <c r="DZ225" s="10"/>
      <c r="EA225" s="10"/>
      <c r="EB225" s="15"/>
      <c r="EC225" s="15"/>
      <c r="ED225" s="15"/>
      <c r="EE225" s="15"/>
      <c r="EF225" s="15"/>
      <c r="EG225" s="15"/>
      <c r="EH225" s="15"/>
      <c r="EI225" s="15"/>
      <c r="EJ225" s="15"/>
      <c r="EK225" s="15"/>
      <c r="EL225" s="15"/>
      <c r="EM225" s="15"/>
      <c r="EN225" s="15"/>
      <c r="EO225" s="15"/>
      <c r="EP225" s="15"/>
      <c r="EQ225" s="15"/>
      <c r="ER225" s="15"/>
      <c r="ES225" s="15"/>
      <c r="ET225" s="15"/>
      <c r="EU225" s="15"/>
      <c r="EV225" s="15"/>
      <c r="EW225" s="15"/>
      <c r="EX225" s="15"/>
      <c r="EY225" s="15"/>
      <c r="EZ225" s="15"/>
      <c r="FA225" s="15"/>
      <c r="FB225" s="15"/>
      <c r="FC225" s="15"/>
      <c r="FD225" s="15"/>
      <c r="FE225" s="15"/>
      <c r="FF225" s="15"/>
      <c r="FG225" s="15"/>
      <c r="FH225" s="15"/>
      <c r="FI225" s="15"/>
      <c r="FJ225" s="15"/>
      <c r="FK225" s="15"/>
      <c r="FL225" s="15"/>
      <c r="FM225" s="15"/>
      <c r="FN225" s="15"/>
      <c r="FO225" s="15"/>
    </row>
    <row r="226" spans="2:176" s="2" customFormat="1" ht="15" customHeight="1">
      <c r="B226" s="8" t="s">
        <v>196</v>
      </c>
      <c r="C226" s="2">
        <f>(17+34/60+54/3600)</f>
        <v>17.581666666666667</v>
      </c>
      <c r="D226" s="2">
        <f>12+33.7/60</f>
        <v>12.561666666666667</v>
      </c>
      <c r="E226" s="17">
        <f t="shared" si="13"/>
        <v>95.935963085301012</v>
      </c>
      <c r="F226" s="17">
        <f t="shared" si="29"/>
        <v>12.546023923655921</v>
      </c>
      <c r="G226" s="17">
        <f t="shared" si="30"/>
        <v>-14.072369883828495</v>
      </c>
      <c r="H226" s="17">
        <f t="shared" si="31"/>
        <v>4.2833657197078132</v>
      </c>
      <c r="I226" s="19">
        <f t="shared" si="32"/>
        <v>95.934917337904196</v>
      </c>
      <c r="J226" s="19">
        <f t="shared" si="33"/>
        <v>12.546553289734426</v>
      </c>
      <c r="L226" s="20"/>
      <c r="N226" s="15"/>
      <c r="O226" s="24" t="s">
        <v>189</v>
      </c>
      <c r="P226" s="15">
        <v>0</v>
      </c>
      <c r="Q226" s="15"/>
      <c r="R226" s="15"/>
      <c r="S226" s="15"/>
      <c r="T226" s="15"/>
      <c r="U226" s="15"/>
      <c r="V226" s="15"/>
      <c r="W226" s="15"/>
      <c r="X226" s="15"/>
      <c r="Y226" s="15">
        <f t="shared" si="34"/>
        <v>53.920848852199583</v>
      </c>
      <c r="Z226" s="15">
        <f t="shared" si="35"/>
        <v>53.920848852199583</v>
      </c>
      <c r="AA226" s="15">
        <f t="shared" ref="AA226:AA237" si="42">J219</f>
        <v>-36.485195453482106</v>
      </c>
      <c r="AB226" s="15">
        <f t="shared" si="36"/>
        <v>0</v>
      </c>
      <c r="AC226" s="15">
        <f t="shared" si="14"/>
        <v>0.55307948694599551</v>
      </c>
      <c r="AD226" s="15">
        <f t="shared" si="37"/>
        <v>-0.55307948694599551</v>
      </c>
      <c r="AE226" s="15">
        <f t="shared" si="38"/>
        <v>-0.91506733011793173</v>
      </c>
      <c r="AF226" s="15">
        <f t="shared" si="39"/>
        <v>-1.4681468170639271</v>
      </c>
      <c r="AG226" s="15">
        <f t="shared" si="40"/>
        <v>40.534502523635169</v>
      </c>
      <c r="AH226" s="15">
        <f t="shared" si="41"/>
        <v>220.53450252363518</v>
      </c>
      <c r="AI226" s="15">
        <f t="shared" si="15"/>
        <v>-73.685195453482109</v>
      </c>
      <c r="AJ226" s="21">
        <f t="shared" si="16"/>
        <v>1.0107590112003011</v>
      </c>
      <c r="AK226" s="21">
        <f t="shared" si="17"/>
        <v>1.0107590112003011</v>
      </c>
      <c r="AL226" s="8" t="s">
        <v>189</v>
      </c>
      <c r="AM226" s="21">
        <f t="shared" si="18"/>
        <v>220.53450252363518</v>
      </c>
      <c r="AN226" s="21">
        <f t="shared" si="19"/>
        <v>1.0107590112003011</v>
      </c>
      <c r="AO226" s="21"/>
      <c r="AP226" s="21"/>
      <c r="AQ226" s="21"/>
      <c r="AR226" s="21"/>
      <c r="AS226" s="15"/>
      <c r="AT226" s="21"/>
      <c r="AU226" s="22"/>
      <c r="AV226" s="21"/>
      <c r="AW226" s="15"/>
      <c r="AX226" s="21"/>
      <c r="AY226" s="15"/>
      <c r="AZ226" s="15"/>
      <c r="BA226" s="15"/>
      <c r="BB226" s="15"/>
      <c r="BC226" s="15"/>
      <c r="BD226" s="19"/>
      <c r="BF226" s="19"/>
      <c r="BH226" s="19"/>
      <c r="BI226" s="19"/>
      <c r="BJ226" s="19"/>
      <c r="BK226" s="19"/>
      <c r="BL226" s="19"/>
      <c r="BN226" s="19"/>
      <c r="BO226" s="19"/>
      <c r="BP226" s="19"/>
      <c r="BQ226" s="19"/>
      <c r="BX226" s="19"/>
      <c r="BZ226" s="19"/>
      <c r="CA226" s="19"/>
      <c r="CB226" s="19"/>
      <c r="CC226" s="19"/>
      <c r="CD226" s="19"/>
      <c r="CE226" s="19"/>
      <c r="CF226" s="19"/>
      <c r="CG226" s="19"/>
      <c r="CH226" s="19"/>
      <c r="CI226" s="19"/>
      <c r="CJ226" s="19"/>
      <c r="CL226" s="19"/>
      <c r="CM226" s="19"/>
      <c r="CN226" s="19"/>
      <c r="CO226" s="19"/>
      <c r="CP226" s="19"/>
      <c r="CR226" s="19"/>
      <c r="CS226" s="19"/>
      <c r="CT226" s="19"/>
      <c r="CU226" s="19"/>
      <c r="CV226" s="19"/>
      <c r="CW226" s="15"/>
      <c r="CX226" s="15"/>
      <c r="CY226" s="21"/>
      <c r="CZ226" s="15"/>
      <c r="DA226" s="15"/>
      <c r="DB226" s="15"/>
      <c r="DC226" s="15"/>
      <c r="DD226" s="10"/>
      <c r="DE226" s="10"/>
      <c r="DF226" s="10"/>
      <c r="DG226" s="9"/>
      <c r="DH226" s="10"/>
      <c r="DI226" s="10"/>
      <c r="DJ226" s="10"/>
      <c r="DK226" s="10"/>
      <c r="DL226" s="10"/>
      <c r="DM226" s="10"/>
      <c r="DN226" s="10"/>
      <c r="DO226" s="10"/>
      <c r="DP226" s="10"/>
      <c r="DQ226" s="10"/>
      <c r="DR226" s="10"/>
      <c r="DS226" s="10"/>
      <c r="DT226" s="10"/>
      <c r="DU226" s="10"/>
      <c r="DV226" s="10"/>
      <c r="DW226" s="10"/>
      <c r="DX226" s="10"/>
      <c r="DY226" s="10"/>
      <c r="DZ226" s="10"/>
      <c r="EA226" s="10"/>
      <c r="EB226" s="15"/>
      <c r="EC226" s="15"/>
      <c r="ED226" s="15"/>
      <c r="EE226" s="15"/>
      <c r="EF226" s="15"/>
      <c r="EG226" s="15"/>
      <c r="EH226" s="15"/>
      <c r="EI226" s="15"/>
      <c r="EJ226" s="15"/>
      <c r="EK226" s="15"/>
      <c r="EL226" s="15"/>
      <c r="EM226" s="15"/>
      <c r="EN226" s="15"/>
      <c r="EO226" s="15"/>
      <c r="EP226" s="15"/>
      <c r="EQ226" s="15"/>
      <c r="ER226" s="15"/>
      <c r="ES226" s="15"/>
      <c r="ET226" s="15"/>
      <c r="EU226" s="15"/>
      <c r="EV226" s="15"/>
      <c r="EW226" s="15"/>
      <c r="EX226" s="15"/>
      <c r="EY226" s="15"/>
      <c r="EZ226" s="15"/>
      <c r="FA226" s="15"/>
      <c r="FB226" s="15"/>
      <c r="FC226" s="15"/>
      <c r="FD226" s="15"/>
      <c r="FE226" s="15"/>
      <c r="FF226" s="15"/>
      <c r="FG226" s="15"/>
      <c r="FH226" s="15"/>
      <c r="FI226" s="15"/>
      <c r="FJ226" s="15"/>
      <c r="FK226" s="15"/>
      <c r="FL226" s="15"/>
      <c r="FM226" s="15"/>
      <c r="FN226" s="15"/>
      <c r="FO226" s="15"/>
    </row>
    <row r="227" spans="2:176" s="2" customFormat="1" ht="15" customHeight="1">
      <c r="B227" s="8" t="s">
        <v>197</v>
      </c>
      <c r="C227" s="2">
        <f>(10+8/60+22/3600)</f>
        <v>10.139444444444443</v>
      </c>
      <c r="D227" s="2">
        <f>11+58/60</f>
        <v>11.966666666666667</v>
      </c>
      <c r="E227" s="17">
        <f t="shared" si="13"/>
        <v>207.57358919992126</v>
      </c>
      <c r="F227" s="17">
        <f t="shared" si="29"/>
        <v>11.840194776741617</v>
      </c>
      <c r="G227" s="17">
        <f t="shared" si="30"/>
        <v>-14.072369883828495</v>
      </c>
      <c r="H227" s="17">
        <f t="shared" si="31"/>
        <v>4.2833657197078132</v>
      </c>
      <c r="I227" s="19">
        <f t="shared" si="32"/>
        <v>207.57323747454262</v>
      </c>
      <c r="J227" s="19">
        <f t="shared" si="33"/>
        <v>11.841778385568203</v>
      </c>
      <c r="L227" s="20"/>
      <c r="N227" s="15"/>
      <c r="O227" s="24" t="s">
        <v>190</v>
      </c>
      <c r="P227" s="15">
        <v>0</v>
      </c>
      <c r="Q227" s="15"/>
      <c r="R227" s="15"/>
      <c r="S227" s="15"/>
      <c r="T227" s="15"/>
      <c r="U227" s="15"/>
      <c r="V227" s="15"/>
      <c r="W227" s="15"/>
      <c r="X227" s="15"/>
      <c r="Y227" s="15">
        <f t="shared" si="34"/>
        <v>127.30528594935174</v>
      </c>
      <c r="Z227" s="15">
        <f t="shared" si="35"/>
        <v>127.30528594935174</v>
      </c>
      <c r="AA227" s="15">
        <f t="shared" si="42"/>
        <v>-69.818865440855859</v>
      </c>
      <c r="AB227" s="15">
        <f t="shared" si="36"/>
        <v>1</v>
      </c>
      <c r="AC227" s="15">
        <f t="shared" si="14"/>
        <v>0.57834519967265507</v>
      </c>
      <c r="AD227" s="15">
        <f t="shared" si="37"/>
        <v>0.57834519967265507</v>
      </c>
      <c r="AE227" s="15">
        <f t="shared" si="38"/>
        <v>-3.4204480165270659</v>
      </c>
      <c r="AF227" s="15">
        <f t="shared" si="39"/>
        <v>-2.8421028168544109</v>
      </c>
      <c r="AG227" s="15">
        <f t="shared" si="40"/>
        <v>23.832545654196057</v>
      </c>
      <c r="AH227" s="15">
        <f t="shared" si="41"/>
        <v>203.83254565419605</v>
      </c>
      <c r="AI227" s="15">
        <f t="shared" si="15"/>
        <v>-107.01886544085586</v>
      </c>
      <c r="AJ227" s="21">
        <f t="shared" si="16"/>
        <v>-47.224726872297886</v>
      </c>
      <c r="AK227" s="21">
        <f t="shared" si="17"/>
        <v>-47.224726872297886</v>
      </c>
      <c r="AL227" s="8" t="s">
        <v>190</v>
      </c>
      <c r="AM227" s="21">
        <f t="shared" si="18"/>
        <v>203.83254565419605</v>
      </c>
      <c r="AN227" s="21">
        <f t="shared" si="19"/>
        <v>-47.224726872297886</v>
      </c>
      <c r="AO227" s="21"/>
      <c r="AP227" s="21"/>
      <c r="AQ227" s="21"/>
      <c r="AR227" s="21"/>
      <c r="AS227" s="15"/>
      <c r="AT227" s="21"/>
      <c r="AU227" s="22"/>
      <c r="AV227" s="21"/>
      <c r="AW227" s="15"/>
      <c r="AX227" s="21"/>
      <c r="AY227" s="15"/>
      <c r="AZ227" s="15"/>
      <c r="BA227" s="15"/>
      <c r="BB227" s="15"/>
      <c r="BC227" s="15"/>
      <c r="BD227" s="19"/>
      <c r="BF227" s="19"/>
      <c r="BH227" s="19"/>
      <c r="BI227" s="19"/>
      <c r="BJ227" s="19"/>
      <c r="BK227" s="19"/>
      <c r="BL227" s="19"/>
      <c r="BN227" s="19"/>
      <c r="BO227" s="19"/>
      <c r="BP227" s="19"/>
      <c r="BQ227" s="19"/>
      <c r="BX227" s="19"/>
      <c r="BZ227" s="19"/>
      <c r="CA227" s="19"/>
      <c r="CB227" s="19"/>
      <c r="CC227" s="19"/>
      <c r="CD227" s="19"/>
      <c r="CE227" s="19"/>
      <c r="CF227" s="19"/>
      <c r="CG227" s="19"/>
      <c r="CH227" s="19"/>
      <c r="CI227" s="19"/>
      <c r="CJ227" s="19"/>
      <c r="CL227" s="19"/>
      <c r="CM227" s="19"/>
      <c r="CN227" s="19"/>
      <c r="CO227" s="19"/>
      <c r="CP227" s="19"/>
      <c r="CR227" s="19"/>
      <c r="CS227" s="19"/>
      <c r="CT227" s="19"/>
      <c r="CU227" s="19"/>
      <c r="CV227" s="19"/>
      <c r="CW227" s="15"/>
      <c r="CX227" s="15"/>
      <c r="CY227" s="21"/>
      <c r="CZ227" s="15"/>
      <c r="DA227" s="15"/>
      <c r="DB227" s="15"/>
      <c r="DC227" s="15"/>
      <c r="DD227" s="10"/>
      <c r="DE227" s="10"/>
      <c r="DF227" s="10"/>
      <c r="DG227" s="9"/>
      <c r="DH227" s="10"/>
      <c r="DI227" s="10"/>
      <c r="DJ227" s="10"/>
      <c r="DK227" s="10"/>
      <c r="DL227" s="10"/>
      <c r="DM227" s="10"/>
      <c r="DN227" s="10"/>
      <c r="DO227" s="10"/>
      <c r="DP227" s="10"/>
      <c r="DQ227" s="10"/>
      <c r="DR227" s="10"/>
      <c r="DS227" s="10"/>
      <c r="DT227" s="10"/>
      <c r="DU227" s="10"/>
      <c r="DV227" s="10"/>
      <c r="DW227" s="10"/>
      <c r="DX227" s="10"/>
      <c r="DY227" s="10"/>
      <c r="DZ227" s="10"/>
      <c r="EA227" s="10"/>
      <c r="EB227" s="15"/>
      <c r="EC227" s="15"/>
      <c r="ED227" s="15"/>
      <c r="EE227" s="15"/>
      <c r="EF227" s="15"/>
      <c r="EG227" s="15"/>
      <c r="EH227" s="15"/>
      <c r="EI227" s="15"/>
      <c r="EJ227" s="15"/>
      <c r="EK227" s="15"/>
      <c r="EL227" s="15"/>
      <c r="EM227" s="15"/>
      <c r="EN227" s="15"/>
      <c r="EO227" s="15"/>
      <c r="EP227" s="15"/>
      <c r="EQ227" s="15"/>
      <c r="ER227" s="15"/>
      <c r="ES227" s="15"/>
      <c r="ET227" s="15"/>
      <c r="EU227" s="15"/>
      <c r="EV227" s="15"/>
      <c r="EW227" s="15"/>
      <c r="EX227" s="15"/>
      <c r="EY227" s="15"/>
      <c r="EZ227" s="15"/>
      <c r="FA227" s="15"/>
      <c r="FB227" s="15"/>
      <c r="FC227" s="15"/>
      <c r="FD227" s="15"/>
      <c r="FE227" s="15"/>
      <c r="FF227" s="15"/>
      <c r="FG227" s="15"/>
      <c r="FH227" s="15"/>
      <c r="FI227" s="15"/>
      <c r="FJ227" s="15"/>
      <c r="FK227" s="15"/>
      <c r="FL227" s="15"/>
      <c r="FM227" s="15"/>
      <c r="FN227" s="15"/>
      <c r="FO227" s="15"/>
    </row>
    <row r="228" spans="2:176" s="2" customFormat="1" ht="15" customHeight="1">
      <c r="B228" s="8" t="s">
        <v>198</v>
      </c>
      <c r="C228" s="2">
        <f>(5+14/60+33/3600)</f>
        <v>5.2424999999999997</v>
      </c>
      <c r="D228" s="2">
        <f>-8-12.3/60</f>
        <v>-8.2050000000000001</v>
      </c>
      <c r="E228" s="17">
        <f t="shared" si="13"/>
        <v>281.03498144452118</v>
      </c>
      <c r="F228" s="17">
        <f t="shared" si="29"/>
        <v>-8.1768037590062228</v>
      </c>
      <c r="G228" s="17">
        <f t="shared" si="30"/>
        <v>-14.072369883828495</v>
      </c>
      <c r="H228" s="17">
        <f t="shared" si="31"/>
        <v>4.2833657197078132</v>
      </c>
      <c r="I228" s="19">
        <f t="shared" si="32"/>
        <v>281.03557583538219</v>
      </c>
      <c r="J228" s="19">
        <f t="shared" si="33"/>
        <v>-8.1770014021128148</v>
      </c>
      <c r="L228" s="20"/>
      <c r="N228" s="15"/>
      <c r="O228" s="24" t="s">
        <v>191</v>
      </c>
      <c r="P228" s="15">
        <v>0</v>
      </c>
      <c r="Q228" s="15"/>
      <c r="R228" s="15"/>
      <c r="S228" s="15"/>
      <c r="T228" s="15"/>
      <c r="U228" s="15"/>
      <c r="V228" s="15"/>
      <c r="W228" s="15"/>
      <c r="X228" s="15"/>
      <c r="Y228" s="15">
        <f t="shared" si="34"/>
        <v>214.46627668664576</v>
      </c>
      <c r="Z228" s="15">
        <f t="shared" si="35"/>
        <v>145.53372331335424</v>
      </c>
      <c r="AA228" s="15">
        <f t="shared" si="42"/>
        <v>49.950664916879674</v>
      </c>
      <c r="AB228" s="15">
        <f t="shared" si="36"/>
        <v>1</v>
      </c>
      <c r="AC228" s="15">
        <f t="shared" si="14"/>
        <v>1.1058057271760502</v>
      </c>
      <c r="AD228" s="15">
        <f t="shared" si="37"/>
        <v>1.1058057271760502</v>
      </c>
      <c r="AE228" s="15">
        <f t="shared" si="38"/>
        <v>2.1021866549043393</v>
      </c>
      <c r="AF228" s="15">
        <f t="shared" si="39"/>
        <v>3.2079923820803895</v>
      </c>
      <c r="AG228" s="15">
        <f t="shared" si="40"/>
        <v>21.372856591678072</v>
      </c>
      <c r="AH228" s="15">
        <f t="shared" si="41"/>
        <v>21.372856591678072</v>
      </c>
      <c r="AI228" s="15">
        <f t="shared" si="15"/>
        <v>12.750664916879671</v>
      </c>
      <c r="AJ228" s="21">
        <f t="shared" si="16"/>
        <v>2.3073007062322604</v>
      </c>
      <c r="AK228" s="21">
        <f t="shared" si="17"/>
        <v>2.3073007062322604</v>
      </c>
      <c r="AL228" s="8" t="s">
        <v>191</v>
      </c>
      <c r="AM228" s="21">
        <f t="shared" si="18"/>
        <v>21.372856591678072</v>
      </c>
      <c r="AN228" s="21">
        <f t="shared" si="19"/>
        <v>2.3073007062322604</v>
      </c>
      <c r="AO228" s="21"/>
      <c r="AP228" s="21"/>
      <c r="AQ228" s="21"/>
      <c r="AR228" s="21"/>
      <c r="AS228" s="15"/>
      <c r="AT228" s="21"/>
      <c r="AU228" s="22"/>
      <c r="AV228" s="21"/>
      <c r="AW228" s="15"/>
      <c r="AX228" s="21"/>
      <c r="AY228" s="15"/>
      <c r="AZ228" s="15"/>
      <c r="BA228" s="15"/>
      <c r="BB228" s="15"/>
      <c r="BC228" s="15"/>
      <c r="BD228" s="19"/>
      <c r="BF228" s="19"/>
      <c r="BH228" s="19"/>
      <c r="BI228" s="19"/>
      <c r="BJ228" s="19"/>
      <c r="BK228" s="19"/>
      <c r="BL228" s="19"/>
      <c r="BN228" s="19"/>
      <c r="BO228" s="19"/>
      <c r="BP228" s="19"/>
      <c r="BQ228" s="19"/>
      <c r="BX228" s="19"/>
      <c r="BZ228" s="19"/>
      <c r="CA228" s="19"/>
      <c r="CB228" s="19"/>
      <c r="CC228" s="19"/>
      <c r="CD228" s="19"/>
      <c r="CE228" s="19"/>
      <c r="CF228" s="19"/>
      <c r="CG228" s="19"/>
      <c r="CH228" s="19"/>
      <c r="CI228" s="19"/>
      <c r="CJ228" s="19"/>
      <c r="CL228" s="19"/>
      <c r="CM228" s="19"/>
      <c r="CN228" s="19"/>
      <c r="CO228" s="19"/>
      <c r="CP228" s="19"/>
      <c r="CR228" s="19"/>
      <c r="CS228" s="19"/>
      <c r="CT228" s="19"/>
      <c r="CU228" s="19"/>
      <c r="CV228" s="19"/>
      <c r="CW228" s="15"/>
      <c r="CX228" s="15"/>
      <c r="CY228" s="21"/>
      <c r="CZ228" s="15"/>
      <c r="DA228" s="15"/>
      <c r="DB228" s="15"/>
      <c r="DC228" s="15"/>
      <c r="DD228" s="10"/>
      <c r="DE228" s="10"/>
      <c r="DF228" s="10"/>
      <c r="DG228" s="9"/>
      <c r="DH228" s="10"/>
      <c r="DI228" s="10"/>
      <c r="DJ228" s="10"/>
      <c r="DK228" s="10"/>
      <c r="DL228" s="10"/>
      <c r="DM228" s="10"/>
      <c r="DN228" s="10"/>
      <c r="DO228" s="10"/>
      <c r="DP228" s="10"/>
      <c r="DQ228" s="10"/>
      <c r="DR228" s="10"/>
      <c r="DS228" s="10"/>
      <c r="DT228" s="10"/>
      <c r="DU228" s="10"/>
      <c r="DV228" s="10"/>
      <c r="DW228" s="10"/>
      <c r="DX228" s="10"/>
      <c r="DY228" s="10"/>
      <c r="DZ228" s="10"/>
      <c r="EA228" s="10"/>
      <c r="EB228" s="15"/>
      <c r="EC228" s="15"/>
      <c r="ED228" s="15"/>
      <c r="EE228" s="15"/>
      <c r="EF228" s="15"/>
      <c r="EG228" s="15"/>
      <c r="EH228" s="15"/>
      <c r="EI228" s="15"/>
      <c r="EJ228" s="15"/>
      <c r="EK228" s="15"/>
      <c r="EL228" s="15"/>
      <c r="EM228" s="15"/>
      <c r="EN228" s="15"/>
      <c r="EO228" s="15"/>
      <c r="EP228" s="15"/>
      <c r="EQ228" s="15"/>
      <c r="ER228" s="15"/>
      <c r="ES228" s="15"/>
      <c r="ET228" s="15"/>
      <c r="EU228" s="15"/>
      <c r="EV228" s="15"/>
      <c r="EW228" s="15"/>
      <c r="EX228" s="15"/>
      <c r="EY228" s="15"/>
      <c r="EZ228" s="15"/>
      <c r="FA228" s="15"/>
      <c r="FB228" s="15"/>
      <c r="FC228" s="15"/>
      <c r="FD228" s="15"/>
      <c r="FE228" s="15"/>
      <c r="FF228" s="15"/>
      <c r="FG228" s="15"/>
      <c r="FH228" s="15"/>
      <c r="FI228" s="15"/>
      <c r="FJ228" s="15"/>
      <c r="FK228" s="15"/>
      <c r="FL228" s="15"/>
      <c r="FM228" s="15"/>
      <c r="FN228" s="15"/>
      <c r="FO228" s="15"/>
    </row>
    <row r="229" spans="2:176" s="2" customFormat="1" ht="15" customHeight="1">
      <c r="B229" s="8" t="s">
        <v>199</v>
      </c>
      <c r="C229" s="2">
        <f>(14+39/60+37/3600)</f>
        <v>14.660277777777779</v>
      </c>
      <c r="D229" s="2">
        <f>-60-49.8/60</f>
        <v>-60.83</v>
      </c>
      <c r="E229" s="17">
        <f t="shared" si="13"/>
        <v>139.83131886867673</v>
      </c>
      <c r="F229" s="17">
        <f t="shared" si="29"/>
        <v>-60.939787478009045</v>
      </c>
      <c r="G229" s="17">
        <f t="shared" si="30"/>
        <v>-14.072369883828495</v>
      </c>
      <c r="H229" s="17">
        <f t="shared" si="31"/>
        <v>4.2833657197078132</v>
      </c>
      <c r="I229" s="19">
        <f t="shared" si="32"/>
        <v>139.83080713348303</v>
      </c>
      <c r="J229" s="19">
        <f t="shared" si="33"/>
        <v>-60.938293481850195</v>
      </c>
      <c r="L229" s="20"/>
      <c r="N229" s="15"/>
      <c r="O229" s="24" t="s">
        <v>192</v>
      </c>
      <c r="P229" s="15">
        <v>0</v>
      </c>
      <c r="Q229" s="15"/>
      <c r="R229" s="15"/>
      <c r="S229" s="15"/>
      <c r="T229" s="15"/>
      <c r="U229" s="15"/>
      <c r="V229" s="15"/>
      <c r="W229" s="15"/>
      <c r="X229" s="15"/>
      <c r="Y229" s="15">
        <f t="shared" si="34"/>
        <v>341.78183163092751</v>
      </c>
      <c r="Z229" s="15">
        <f t="shared" si="35"/>
        <v>18.218168369072487</v>
      </c>
      <c r="AA229" s="15">
        <f t="shared" si="42"/>
        <v>-26.26083699412003</v>
      </c>
      <c r="AB229" s="15">
        <f t="shared" si="36"/>
        <v>0</v>
      </c>
      <c r="AC229" s="15">
        <f t="shared" si="14"/>
        <v>2.3061723709249606</v>
      </c>
      <c r="AD229" s="15">
        <f t="shared" si="37"/>
        <v>-2.3061723709249606</v>
      </c>
      <c r="AE229" s="15">
        <f t="shared" si="38"/>
        <v>-1.5781303843705654</v>
      </c>
      <c r="AF229" s="15">
        <f t="shared" si="39"/>
        <v>-3.884302755295526</v>
      </c>
      <c r="AG229" s="15">
        <f t="shared" si="40"/>
        <v>17.91135308492608</v>
      </c>
      <c r="AH229" s="15">
        <f t="shared" si="41"/>
        <v>162.08864691507392</v>
      </c>
      <c r="AI229" s="15">
        <f t="shared" si="15"/>
        <v>-63.460836994120029</v>
      </c>
      <c r="AJ229" s="21">
        <f t="shared" si="16"/>
        <v>24.267838814096006</v>
      </c>
      <c r="AK229" s="21">
        <f t="shared" si="17"/>
        <v>24.267838814096006</v>
      </c>
      <c r="AL229" s="8" t="s">
        <v>192</v>
      </c>
      <c r="AM229" s="21">
        <f t="shared" si="18"/>
        <v>162.08864691507392</v>
      </c>
      <c r="AN229" s="21">
        <f t="shared" si="19"/>
        <v>24.267838814096006</v>
      </c>
      <c r="AO229" s="21"/>
      <c r="AP229" s="21"/>
      <c r="AQ229" s="21"/>
      <c r="AR229" s="21"/>
      <c r="AS229" s="15"/>
      <c r="AT229" s="21"/>
      <c r="AU229" s="22"/>
      <c r="AV229" s="21"/>
      <c r="AW229" s="15"/>
      <c r="AX229" s="21"/>
      <c r="AY229" s="15"/>
      <c r="AZ229" s="15"/>
      <c r="BA229" s="15"/>
      <c r="BB229" s="15"/>
      <c r="BC229" s="15"/>
      <c r="BD229" s="19"/>
      <c r="BF229" s="19"/>
      <c r="BH229" s="19"/>
      <c r="BI229" s="19"/>
      <c r="BJ229" s="19"/>
      <c r="BK229" s="19"/>
      <c r="BL229" s="19"/>
      <c r="BN229" s="19"/>
      <c r="BO229" s="19"/>
      <c r="BP229" s="19"/>
      <c r="BQ229" s="19"/>
      <c r="BX229" s="19"/>
      <c r="BZ229" s="19"/>
      <c r="CA229" s="19"/>
      <c r="CB229" s="19"/>
      <c r="CC229" s="19"/>
      <c r="CD229" s="19"/>
      <c r="CE229" s="19"/>
      <c r="CF229" s="19"/>
      <c r="CG229" s="19"/>
      <c r="CH229" s="19"/>
      <c r="CI229" s="19"/>
      <c r="CJ229" s="19"/>
      <c r="CL229" s="19"/>
      <c r="CM229" s="19"/>
      <c r="CN229" s="19"/>
      <c r="CO229" s="19"/>
      <c r="CP229" s="19"/>
      <c r="CR229" s="19"/>
      <c r="CS229" s="19"/>
      <c r="CT229" s="19"/>
      <c r="CU229" s="19"/>
      <c r="CV229" s="19"/>
      <c r="CW229" s="15"/>
      <c r="CX229" s="15"/>
      <c r="CY229" s="21"/>
      <c r="CZ229" s="15"/>
      <c r="DA229" s="15"/>
      <c r="DB229" s="15"/>
      <c r="DC229" s="15"/>
      <c r="DD229" s="10"/>
      <c r="DE229" s="10"/>
      <c r="DF229" s="10"/>
      <c r="DG229" s="9"/>
      <c r="DH229" s="10"/>
      <c r="DI229" s="10"/>
      <c r="DJ229" s="10"/>
      <c r="DK229" s="10"/>
      <c r="DL229" s="10"/>
      <c r="DM229" s="10"/>
      <c r="DN229" s="10"/>
      <c r="DO229" s="10"/>
      <c r="DP229" s="10"/>
      <c r="DQ229" s="10"/>
      <c r="DR229" s="10"/>
      <c r="DS229" s="10"/>
      <c r="DT229" s="10"/>
      <c r="DU229" s="10"/>
      <c r="DV229" s="10"/>
      <c r="DW229" s="10"/>
      <c r="DX229" s="10"/>
      <c r="DY229" s="10"/>
      <c r="DZ229" s="10"/>
      <c r="EA229" s="10"/>
      <c r="EB229" s="15"/>
      <c r="EC229" s="15"/>
      <c r="ED229" s="15"/>
      <c r="EE229" s="15"/>
      <c r="EF229" s="15"/>
      <c r="EG229" s="15"/>
      <c r="EH229" s="15"/>
      <c r="EI229" s="15"/>
      <c r="EJ229" s="15"/>
      <c r="EK229" s="15"/>
      <c r="EL229" s="15"/>
      <c r="EM229" s="15"/>
      <c r="EN229" s="15"/>
      <c r="EO229" s="15"/>
      <c r="EP229" s="15"/>
      <c r="EQ229" s="15"/>
      <c r="ER229" s="15"/>
      <c r="ES229" s="15"/>
      <c r="ET229" s="15"/>
      <c r="EU229" s="15"/>
      <c r="EV229" s="15"/>
      <c r="EW229" s="15"/>
      <c r="EX229" s="15"/>
      <c r="EY229" s="15"/>
      <c r="EZ229" s="15"/>
      <c r="FA229" s="15"/>
      <c r="FB229" s="15"/>
      <c r="FC229" s="15"/>
      <c r="FD229" s="15"/>
      <c r="FE229" s="15"/>
      <c r="FF229" s="15"/>
      <c r="FG229" s="15"/>
      <c r="FH229" s="15"/>
      <c r="FI229" s="15"/>
      <c r="FJ229" s="15"/>
      <c r="FK229" s="15"/>
      <c r="FL229" s="15"/>
      <c r="FM229" s="15"/>
      <c r="FN229" s="15"/>
      <c r="FO229" s="15"/>
    </row>
    <row r="230" spans="2:176" s="2" customFormat="1" ht="15" customHeight="1">
      <c r="B230" s="8" t="s">
        <v>200</v>
      </c>
      <c r="C230" s="2">
        <f>(17+10/60+20/3600)</f>
        <v>17.172222222222224</v>
      </c>
      <c r="D230" s="2">
        <f>-15-43.4/60</f>
        <v>-15.723333333333333</v>
      </c>
      <c r="E230" s="17">
        <f t="shared" si="13"/>
        <v>102.09915832449661</v>
      </c>
      <c r="F230" s="17">
        <f t="shared" si="29"/>
        <v>-15.754106205886071</v>
      </c>
      <c r="G230" s="17">
        <f t="shared" si="30"/>
        <v>-14.072369883828495</v>
      </c>
      <c r="H230" s="17">
        <f t="shared" si="31"/>
        <v>4.2833657197078132</v>
      </c>
      <c r="I230" s="19">
        <f t="shared" si="32"/>
        <v>102.10082432350437</v>
      </c>
      <c r="J230" s="19">
        <f t="shared" si="33"/>
        <v>-15.753420561967472</v>
      </c>
      <c r="L230" s="20"/>
      <c r="N230" s="15"/>
      <c r="O230" s="24" t="s">
        <v>193</v>
      </c>
      <c r="P230" s="15">
        <v>0</v>
      </c>
      <c r="Q230" s="15"/>
      <c r="R230" s="15"/>
      <c r="S230" s="15"/>
      <c r="T230" s="15"/>
      <c r="U230" s="15"/>
      <c r="V230" s="15"/>
      <c r="W230" s="15"/>
      <c r="X230" s="15"/>
      <c r="Y230" s="15">
        <f t="shared" si="34"/>
        <v>319.2448075161692</v>
      </c>
      <c r="Z230" s="15">
        <f t="shared" si="35"/>
        <v>40.755192483830797</v>
      </c>
      <c r="AA230" s="15">
        <f t="shared" si="42"/>
        <v>-56.652254304514599</v>
      </c>
      <c r="AB230" s="15">
        <f t="shared" si="36"/>
        <v>0</v>
      </c>
      <c r="AC230" s="15">
        <f t="shared" si="14"/>
        <v>0.88074938418971338</v>
      </c>
      <c r="AD230" s="15">
        <f t="shared" si="37"/>
        <v>-0.88074938418971338</v>
      </c>
      <c r="AE230" s="15">
        <f t="shared" si="38"/>
        <v>-2.3277072617133512</v>
      </c>
      <c r="AF230" s="15">
        <f t="shared" si="39"/>
        <v>-3.2084566459030643</v>
      </c>
      <c r="AG230" s="15">
        <f t="shared" si="40"/>
        <v>21.370042898049064</v>
      </c>
      <c r="AH230" s="15">
        <f t="shared" si="41"/>
        <v>158.62995710195094</v>
      </c>
      <c r="AI230" s="15">
        <f t="shared" si="15"/>
        <v>-93.852254304514602</v>
      </c>
      <c r="AJ230" s="21">
        <f t="shared" si="16"/>
        <v>-9.9834816538965505</v>
      </c>
      <c r="AK230" s="21">
        <f t="shared" si="17"/>
        <v>-9.9834816538965505</v>
      </c>
      <c r="AL230" s="8" t="s">
        <v>193</v>
      </c>
      <c r="AM230" s="21">
        <f t="shared" si="18"/>
        <v>158.62995710195094</v>
      </c>
      <c r="AN230" s="21">
        <f t="shared" si="19"/>
        <v>-9.9834816538965505</v>
      </c>
      <c r="AO230" s="21"/>
      <c r="AP230" s="21"/>
      <c r="AQ230" s="21"/>
      <c r="AR230" s="21"/>
      <c r="AS230" s="15"/>
      <c r="AT230" s="21"/>
      <c r="AU230" s="22"/>
      <c r="AV230" s="21"/>
      <c r="AW230" s="15"/>
      <c r="AX230" s="21"/>
      <c r="AY230" s="15"/>
      <c r="AZ230" s="15"/>
      <c r="BA230" s="15"/>
      <c r="BB230" s="15"/>
      <c r="BC230" s="15"/>
      <c r="BD230" s="19"/>
      <c r="BF230" s="19"/>
      <c r="BH230" s="19"/>
      <c r="BI230" s="19"/>
      <c r="BJ230" s="19"/>
      <c r="BK230" s="19"/>
      <c r="BL230" s="19"/>
      <c r="BN230" s="19"/>
      <c r="BO230" s="19"/>
      <c r="BP230" s="19"/>
      <c r="BQ230" s="19"/>
      <c r="BX230" s="19"/>
      <c r="BZ230" s="19"/>
      <c r="CA230" s="19"/>
      <c r="CB230" s="19"/>
      <c r="CC230" s="19"/>
      <c r="CD230" s="19"/>
      <c r="CE230" s="19"/>
      <c r="CF230" s="19"/>
      <c r="CG230" s="19"/>
      <c r="CH230" s="19"/>
      <c r="CI230" s="19"/>
      <c r="CJ230" s="19"/>
      <c r="CL230" s="19"/>
      <c r="CM230" s="19"/>
      <c r="CN230" s="19"/>
      <c r="CO230" s="19"/>
      <c r="CP230" s="19"/>
      <c r="CR230" s="19"/>
      <c r="CS230" s="19"/>
      <c r="CT230" s="19"/>
      <c r="CU230" s="19"/>
      <c r="CV230" s="19"/>
      <c r="CW230" s="15"/>
      <c r="CX230" s="15"/>
      <c r="CY230" s="21"/>
      <c r="CZ230" s="15"/>
      <c r="DA230" s="15"/>
      <c r="DB230" s="15"/>
      <c r="DC230" s="15"/>
      <c r="DD230" s="10"/>
      <c r="DE230" s="10"/>
      <c r="DF230" s="10"/>
      <c r="DG230" s="9"/>
      <c r="DH230" s="10"/>
      <c r="DI230" s="10"/>
      <c r="DJ230" s="10"/>
      <c r="DK230" s="10"/>
      <c r="DL230" s="10"/>
      <c r="DM230" s="10"/>
      <c r="DN230" s="10"/>
      <c r="DO230" s="10"/>
      <c r="DP230" s="10"/>
      <c r="DQ230" s="10"/>
      <c r="DR230" s="10"/>
      <c r="DS230" s="10"/>
      <c r="DT230" s="10"/>
      <c r="DU230" s="10"/>
      <c r="DV230" s="10"/>
      <c r="DW230" s="10"/>
      <c r="DX230" s="10"/>
      <c r="DY230" s="10"/>
      <c r="DZ230" s="10"/>
      <c r="EA230" s="10"/>
      <c r="EB230" s="15"/>
      <c r="EC230" s="15"/>
      <c r="ED230" s="15"/>
      <c r="EE230" s="15"/>
      <c r="EF230" s="15"/>
      <c r="EG230" s="15"/>
      <c r="EH230" s="15"/>
      <c r="EI230" s="15"/>
      <c r="EJ230" s="15"/>
      <c r="EK230" s="15"/>
      <c r="EL230" s="15"/>
      <c r="EM230" s="15"/>
      <c r="EN230" s="15"/>
      <c r="EO230" s="15"/>
      <c r="EP230" s="15"/>
      <c r="EQ230" s="15"/>
      <c r="ER230" s="15"/>
      <c r="ES230" s="15"/>
      <c r="ET230" s="15"/>
      <c r="EU230" s="15"/>
      <c r="EV230" s="15"/>
      <c r="EW230" s="15"/>
      <c r="EX230" s="15"/>
      <c r="EY230" s="15"/>
      <c r="EZ230" s="15"/>
      <c r="FA230" s="15"/>
      <c r="FB230" s="15"/>
      <c r="FC230" s="15"/>
      <c r="FD230" s="15"/>
      <c r="FE230" s="15"/>
      <c r="FF230" s="15"/>
      <c r="FG230" s="15"/>
      <c r="FH230" s="15"/>
      <c r="FI230" s="15"/>
      <c r="FJ230" s="15"/>
      <c r="FK230" s="15"/>
      <c r="FL230" s="15"/>
      <c r="FM230" s="15"/>
      <c r="FN230" s="15"/>
      <c r="FO230" s="15"/>
    </row>
    <row r="231" spans="2:176" s="2" customFormat="1" ht="15" customHeight="1">
      <c r="B231" s="8" t="s">
        <v>201</v>
      </c>
      <c r="C231" s="2">
        <f>(0+40/60+30/3600)</f>
        <v>0.67499999999999993</v>
      </c>
      <c r="D231" s="2">
        <f>56+32.4/60</f>
        <v>56.54</v>
      </c>
      <c r="E231" s="17">
        <f t="shared" si="13"/>
        <v>349.54304473161932</v>
      </c>
      <c r="F231" s="17">
        <f t="shared" si="29"/>
        <v>56.680887893954115</v>
      </c>
      <c r="G231" s="17">
        <f t="shared" si="30"/>
        <v>-14.072369883828495</v>
      </c>
      <c r="H231" s="17">
        <f t="shared" si="31"/>
        <v>4.2833657197078132</v>
      </c>
      <c r="I231" s="19">
        <f t="shared" si="32"/>
        <v>349.5411164165123</v>
      </c>
      <c r="J231" s="19">
        <f t="shared" si="33"/>
        <v>56.679371130677154</v>
      </c>
      <c r="L231" s="20"/>
      <c r="N231" s="15"/>
      <c r="O231" s="24" t="s">
        <v>194</v>
      </c>
      <c r="P231" s="15">
        <v>0</v>
      </c>
      <c r="Q231" s="15"/>
      <c r="R231" s="15"/>
      <c r="S231" s="15"/>
      <c r="T231" s="15"/>
      <c r="U231" s="15"/>
      <c r="V231" s="15"/>
      <c r="W231" s="15"/>
      <c r="X231" s="15"/>
      <c r="Y231" s="15">
        <f t="shared" si="34"/>
        <v>149.21722898576388</v>
      </c>
      <c r="Z231" s="15">
        <f t="shared" si="35"/>
        <v>149.21722898576388</v>
      </c>
      <c r="AA231" s="15">
        <f t="shared" si="42"/>
        <v>27.96236482376516</v>
      </c>
      <c r="AB231" s="15">
        <f t="shared" si="36"/>
        <v>1</v>
      </c>
      <c r="AC231" s="15">
        <f t="shared" si="14"/>
        <v>1.2741746301287571</v>
      </c>
      <c r="AD231" s="15">
        <f t="shared" si="37"/>
        <v>1.2741746301287571</v>
      </c>
      <c r="AE231" s="15">
        <f t="shared" si="38"/>
        <v>1.0372864209402699</v>
      </c>
      <c r="AF231" s="15">
        <f t="shared" si="39"/>
        <v>2.3114610510690268</v>
      </c>
      <c r="AG231" s="15">
        <f t="shared" si="40"/>
        <v>28.508129298972687</v>
      </c>
      <c r="AH231" s="15">
        <f t="shared" si="41"/>
        <v>331.49187070102732</v>
      </c>
      <c r="AI231" s="15">
        <f t="shared" si="15"/>
        <v>-9.2376351762348428</v>
      </c>
      <c r="AJ231" s="21">
        <f t="shared" si="16"/>
        <v>-18.71913225349661</v>
      </c>
      <c r="AK231" s="21">
        <f t="shared" si="17"/>
        <v>-18.71913225349661</v>
      </c>
      <c r="AL231" s="8" t="s">
        <v>194</v>
      </c>
      <c r="AM231" s="21">
        <f t="shared" si="18"/>
        <v>331.49187070102732</v>
      </c>
      <c r="AN231" s="21">
        <f t="shared" si="19"/>
        <v>-18.71913225349661</v>
      </c>
      <c r="AO231" s="21"/>
      <c r="AP231" s="21"/>
      <c r="AQ231" s="21"/>
      <c r="AR231" s="21"/>
      <c r="AS231" s="15"/>
      <c r="AT231" s="21"/>
      <c r="AU231" s="22"/>
      <c r="AV231" s="21"/>
      <c r="AW231" s="15"/>
      <c r="AX231" s="21"/>
      <c r="AY231" s="15"/>
      <c r="AZ231" s="15"/>
      <c r="BA231" s="15"/>
      <c r="BB231" s="15"/>
      <c r="BC231" s="15"/>
      <c r="BD231" s="19"/>
      <c r="BF231" s="19"/>
      <c r="BH231" s="19"/>
      <c r="BI231" s="19"/>
      <c r="BJ231" s="19"/>
      <c r="BK231" s="19"/>
      <c r="BL231" s="19"/>
      <c r="BN231" s="19"/>
      <c r="BO231" s="19"/>
      <c r="BP231" s="19"/>
      <c r="BQ231" s="19"/>
      <c r="BX231" s="19"/>
      <c r="BZ231" s="19"/>
      <c r="CA231" s="19"/>
      <c r="CB231" s="19"/>
      <c r="CC231" s="19"/>
      <c r="CD231" s="19"/>
      <c r="CE231" s="19"/>
      <c r="CF231" s="19"/>
      <c r="CG231" s="19"/>
      <c r="CH231" s="19"/>
      <c r="CI231" s="19"/>
      <c r="CJ231" s="19"/>
      <c r="CL231" s="19"/>
      <c r="CM231" s="19"/>
      <c r="CN231" s="19"/>
      <c r="CO231" s="19"/>
      <c r="CP231" s="19"/>
      <c r="CR231" s="19"/>
      <c r="CS231" s="19"/>
      <c r="CT231" s="19"/>
      <c r="CU231" s="19"/>
      <c r="CV231" s="19"/>
      <c r="CW231" s="15"/>
      <c r="CX231" s="15"/>
      <c r="CY231" s="21"/>
      <c r="CZ231" s="15"/>
      <c r="DA231" s="15"/>
      <c r="DB231" s="15"/>
      <c r="DC231" s="15"/>
      <c r="DD231" s="10"/>
      <c r="DE231" s="10"/>
      <c r="DF231" s="10"/>
      <c r="DG231" s="9"/>
      <c r="DH231" s="10"/>
      <c r="DI231" s="10"/>
      <c r="DJ231" s="10"/>
      <c r="DK231" s="10"/>
      <c r="DL231" s="10"/>
      <c r="DM231" s="10"/>
      <c r="DN231" s="10"/>
      <c r="DO231" s="10"/>
      <c r="DP231" s="10"/>
      <c r="DQ231" s="10"/>
      <c r="DR231" s="10"/>
      <c r="DS231" s="10"/>
      <c r="DT231" s="10"/>
      <c r="DU231" s="10"/>
      <c r="DV231" s="10"/>
      <c r="DW231" s="10"/>
      <c r="DX231" s="10"/>
      <c r="DY231" s="10"/>
      <c r="DZ231" s="10"/>
      <c r="EA231" s="10"/>
      <c r="EB231" s="15"/>
      <c r="EC231" s="15"/>
      <c r="ED231" s="15"/>
      <c r="EE231" s="15"/>
      <c r="EF231" s="15"/>
      <c r="EG231" s="15"/>
      <c r="EH231" s="15"/>
      <c r="EI231" s="15"/>
      <c r="EJ231" s="15"/>
      <c r="EK231" s="15"/>
      <c r="EL231" s="15"/>
      <c r="EM231" s="15"/>
      <c r="EN231" s="15"/>
      <c r="EO231" s="15"/>
      <c r="EP231" s="15"/>
      <c r="EQ231" s="15"/>
      <c r="ER231" s="15"/>
      <c r="ES231" s="15"/>
      <c r="ET231" s="15"/>
      <c r="EU231" s="15"/>
      <c r="EV231" s="15"/>
      <c r="EW231" s="15"/>
      <c r="EX231" s="15"/>
      <c r="EY231" s="15"/>
      <c r="EZ231" s="15"/>
      <c r="FA231" s="15"/>
      <c r="FB231" s="15"/>
      <c r="FC231" s="15"/>
      <c r="FD231" s="15"/>
      <c r="FE231" s="15"/>
      <c r="FF231" s="15"/>
      <c r="FG231" s="15"/>
      <c r="FH231" s="15"/>
      <c r="FI231" s="15"/>
      <c r="FJ231" s="15"/>
      <c r="FK231" s="15"/>
      <c r="FL231" s="15"/>
      <c r="FM231" s="15"/>
      <c r="FN231" s="15"/>
      <c r="FO231" s="15"/>
    </row>
    <row r="232" spans="2:176" s="2" customFormat="1" ht="15" customHeight="1">
      <c r="B232" s="8" t="s">
        <v>202</v>
      </c>
      <c r="C232" s="2">
        <f>(17+33/60+34/3600)</f>
        <v>17.559444444444445</v>
      </c>
      <c r="D232" s="2">
        <f>-37-6.1/60</f>
        <v>-37.101666666666667</v>
      </c>
      <c r="E232" s="17">
        <f t="shared" si="13"/>
        <v>96.311586170945247</v>
      </c>
      <c r="F232" s="17">
        <f t="shared" si="29"/>
        <v>-37.118136771128547</v>
      </c>
      <c r="G232" s="17">
        <f t="shared" si="30"/>
        <v>-14.072369883828495</v>
      </c>
      <c r="H232" s="17">
        <f t="shared" si="31"/>
        <v>4.2833657197078132</v>
      </c>
      <c r="I232" s="19">
        <f t="shared" si="32"/>
        <v>96.311225733726289</v>
      </c>
      <c r="J232" s="19">
        <f t="shared" si="33"/>
        <v>-37.117598855517151</v>
      </c>
      <c r="L232" s="20"/>
      <c r="N232" s="15"/>
      <c r="O232" s="24" t="s">
        <v>195</v>
      </c>
      <c r="P232" s="15">
        <v>0</v>
      </c>
      <c r="Q232" s="15"/>
      <c r="R232" s="15"/>
      <c r="S232" s="15"/>
      <c r="T232" s="15"/>
      <c r="U232" s="15"/>
      <c r="V232" s="15"/>
      <c r="W232" s="15"/>
      <c r="X232" s="15"/>
      <c r="Y232" s="15">
        <f t="shared" si="34"/>
        <v>150.73078535598358</v>
      </c>
      <c r="Z232" s="15">
        <f t="shared" si="35"/>
        <v>150.73078535598358</v>
      </c>
      <c r="AA232" s="15">
        <f t="shared" si="42"/>
        <v>5.1657147341021119</v>
      </c>
      <c r="AB232" s="15">
        <f t="shared" si="36"/>
        <v>1</v>
      </c>
      <c r="AC232" s="15">
        <f t="shared" si="14"/>
        <v>1.3543002479523003</v>
      </c>
      <c r="AD232" s="15">
        <f t="shared" si="37"/>
        <v>1.3543002479523003</v>
      </c>
      <c r="AE232" s="15">
        <f t="shared" si="38"/>
        <v>0.18490746789361215</v>
      </c>
      <c r="AF232" s="15">
        <f t="shared" si="39"/>
        <v>1.5392077158459125</v>
      </c>
      <c r="AG232" s="15">
        <f t="shared" si="40"/>
        <v>39.202200584928015</v>
      </c>
      <c r="AH232" s="15">
        <f t="shared" si="41"/>
        <v>320.79779941507201</v>
      </c>
      <c r="AI232" s="15">
        <f t="shared" si="15"/>
        <v>-32.034285265897893</v>
      </c>
      <c r="AJ232" s="21">
        <f t="shared" si="16"/>
        <v>-39.611633393054518</v>
      </c>
      <c r="AK232" s="21">
        <f t="shared" si="17"/>
        <v>-39.611633393054518</v>
      </c>
      <c r="AL232" s="8" t="s">
        <v>195</v>
      </c>
      <c r="AM232" s="21">
        <f t="shared" si="18"/>
        <v>320.79779941507201</v>
      </c>
      <c r="AN232" s="21">
        <f t="shared" si="19"/>
        <v>-39.611633393054518</v>
      </c>
      <c r="AO232" s="21"/>
      <c r="AP232" s="21"/>
      <c r="AQ232" s="21"/>
      <c r="AR232" s="21"/>
      <c r="AS232" s="15"/>
      <c r="AT232" s="21"/>
      <c r="AU232" s="22"/>
      <c r="AV232" s="21"/>
      <c r="AW232" s="15"/>
      <c r="AX232" s="21"/>
      <c r="AY232" s="15"/>
      <c r="AZ232" s="15"/>
      <c r="BA232" s="15"/>
      <c r="BB232" s="15"/>
      <c r="BC232" s="15"/>
      <c r="BD232" s="19"/>
      <c r="BF232" s="19"/>
      <c r="BH232" s="19"/>
      <c r="BI232" s="19"/>
      <c r="BJ232" s="19"/>
      <c r="BK232" s="19"/>
      <c r="BL232" s="19"/>
      <c r="BN232" s="19"/>
      <c r="BO232" s="19"/>
      <c r="BP232" s="19"/>
      <c r="BQ232" s="19"/>
      <c r="BX232" s="19"/>
      <c r="BZ232" s="19"/>
      <c r="CA232" s="19"/>
      <c r="CB232" s="19"/>
      <c r="CC232" s="19"/>
      <c r="CD232" s="19"/>
      <c r="CE232" s="19"/>
      <c r="CF232" s="19"/>
      <c r="CG232" s="19"/>
      <c r="CH232" s="19"/>
      <c r="CI232" s="19"/>
      <c r="CJ232" s="19"/>
      <c r="CL232" s="19"/>
      <c r="CM232" s="19"/>
      <c r="CN232" s="19"/>
      <c r="CO232" s="19"/>
      <c r="CP232" s="19"/>
      <c r="CR232" s="19"/>
      <c r="CS232" s="19"/>
      <c r="CT232" s="19"/>
      <c r="CU232" s="19"/>
      <c r="CV232" s="19"/>
      <c r="CW232" s="15"/>
      <c r="CX232" s="15"/>
      <c r="CY232" s="21"/>
      <c r="CZ232" s="15"/>
      <c r="DA232" s="15"/>
      <c r="DB232" s="15"/>
      <c r="DC232" s="15"/>
      <c r="DD232" s="10"/>
      <c r="DE232" s="10"/>
      <c r="DF232" s="10"/>
      <c r="DG232" s="9"/>
      <c r="DH232" s="10"/>
      <c r="DI232" s="10"/>
      <c r="DJ232" s="10"/>
      <c r="DK232" s="10"/>
      <c r="DL232" s="10"/>
      <c r="DM232" s="10"/>
      <c r="DN232" s="10"/>
      <c r="DO232" s="10"/>
      <c r="DP232" s="10"/>
      <c r="DQ232" s="10"/>
      <c r="DR232" s="10"/>
      <c r="DS232" s="10"/>
      <c r="DT232" s="10"/>
      <c r="DU232" s="10"/>
      <c r="DV232" s="10"/>
      <c r="DW232" s="10"/>
      <c r="DX232" s="10"/>
      <c r="DY232" s="10"/>
      <c r="DZ232" s="10"/>
      <c r="EA232" s="10"/>
      <c r="EB232" s="15"/>
      <c r="EC232" s="15"/>
      <c r="ED232" s="15"/>
      <c r="EE232" s="15"/>
      <c r="EF232" s="15"/>
      <c r="EG232" s="15"/>
      <c r="EH232" s="15"/>
      <c r="EI232" s="15"/>
      <c r="EJ232" s="15"/>
      <c r="EK232" s="15"/>
      <c r="EL232" s="15"/>
      <c r="EM232" s="15"/>
      <c r="EN232" s="15"/>
      <c r="EO232" s="15"/>
      <c r="EP232" s="15"/>
      <c r="EQ232" s="15"/>
      <c r="ER232" s="15"/>
      <c r="ES232" s="15"/>
      <c r="ET232" s="15"/>
      <c r="EU232" s="15"/>
      <c r="EV232" s="15"/>
      <c r="EW232" s="15"/>
      <c r="EX232" s="15"/>
      <c r="EY232" s="15"/>
      <c r="EZ232" s="15"/>
      <c r="FA232" s="15"/>
      <c r="FB232" s="15"/>
      <c r="FC232" s="15"/>
      <c r="FD232" s="15"/>
      <c r="FE232" s="15"/>
      <c r="FF232" s="15"/>
      <c r="FG232" s="15"/>
      <c r="FH232" s="15"/>
      <c r="FI232" s="15"/>
      <c r="FJ232" s="15"/>
      <c r="FK232" s="15"/>
      <c r="FL232" s="15"/>
      <c r="FM232" s="15"/>
      <c r="FN232" s="15"/>
      <c r="FO232" s="15"/>
    </row>
    <row r="233" spans="2:176" s="2" customFormat="1" ht="15" customHeight="1">
      <c r="B233" s="8" t="s">
        <v>203</v>
      </c>
      <c r="C233" s="2">
        <f>(6+45/60+10/3600)</f>
        <v>6.7527777777777782</v>
      </c>
      <c r="D233" s="2">
        <f>-16-42.9/60</f>
        <v>-16.715</v>
      </c>
      <c r="E233" s="17">
        <f t="shared" si="13"/>
        <v>258.38398280519067</v>
      </c>
      <c r="F233" s="17">
        <f t="shared" si="29"/>
        <v>-16.743022755694135</v>
      </c>
      <c r="G233" s="17">
        <f t="shared" si="30"/>
        <v>-14.072369883828495</v>
      </c>
      <c r="H233" s="17">
        <f t="shared" si="31"/>
        <v>4.2833657197078132</v>
      </c>
      <c r="I233" s="19">
        <f t="shared" si="32"/>
        <v>258.38495500400012</v>
      </c>
      <c r="J233" s="19">
        <f t="shared" si="33"/>
        <v>-16.742578375758324</v>
      </c>
      <c r="L233" s="20"/>
      <c r="N233" s="15"/>
      <c r="O233" s="24" t="s">
        <v>196</v>
      </c>
      <c r="P233" s="15">
        <v>0</v>
      </c>
      <c r="Q233" s="15"/>
      <c r="R233" s="15"/>
      <c r="S233" s="15"/>
      <c r="T233" s="15"/>
      <c r="U233" s="15"/>
      <c r="V233" s="15"/>
      <c r="W233" s="15"/>
      <c r="X233" s="15"/>
      <c r="Y233" s="15">
        <f t="shared" si="34"/>
        <v>1.825999751354118</v>
      </c>
      <c r="Z233" s="15">
        <f t="shared" si="35"/>
        <v>1.825999751354118</v>
      </c>
      <c r="AA233" s="15">
        <f t="shared" si="42"/>
        <v>12.546553289734426</v>
      </c>
      <c r="AB233" s="15">
        <f t="shared" si="36"/>
        <v>0</v>
      </c>
      <c r="AC233" s="15">
        <f t="shared" si="14"/>
        <v>23.808951113699038</v>
      </c>
      <c r="AD233" s="15">
        <f t="shared" si="37"/>
        <v>-23.808951113699038</v>
      </c>
      <c r="AE233" s="15">
        <f t="shared" si="38"/>
        <v>6.9842163835867623</v>
      </c>
      <c r="AF233" s="15">
        <f t="shared" si="39"/>
        <v>-16.824734730112276</v>
      </c>
      <c r="AG233" s="15">
        <f t="shared" si="40"/>
        <v>4.2674476431574089</v>
      </c>
      <c r="AH233" s="15">
        <f t="shared" si="41"/>
        <v>184.2674476431574</v>
      </c>
      <c r="AI233" s="15">
        <f t="shared" si="15"/>
        <v>-24.653446710265577</v>
      </c>
      <c r="AJ233" s="21">
        <f t="shared" si="16"/>
        <v>65.292378146651004</v>
      </c>
      <c r="AK233" s="21">
        <f t="shared" si="17"/>
        <v>65.292378146651004</v>
      </c>
      <c r="AL233" s="8" t="s">
        <v>196</v>
      </c>
      <c r="AM233" s="21">
        <f t="shared" si="18"/>
        <v>184.2674476431574</v>
      </c>
      <c r="AN233" s="21">
        <f t="shared" si="19"/>
        <v>65.292378146651004</v>
      </c>
      <c r="AO233" s="21"/>
      <c r="AP233" s="21"/>
      <c r="AQ233" s="21"/>
      <c r="AR233" s="21"/>
      <c r="AS233" s="15"/>
      <c r="AT233" s="21"/>
      <c r="AU233" s="22"/>
      <c r="AV233" s="21"/>
      <c r="AW233" s="15"/>
      <c r="AX233" s="21"/>
      <c r="AY233" s="15"/>
      <c r="AZ233" s="15"/>
      <c r="BA233" s="15"/>
      <c r="BB233" s="15"/>
      <c r="BC233" s="15"/>
      <c r="BD233" s="19"/>
      <c r="BF233" s="19"/>
      <c r="BH233" s="19"/>
      <c r="BI233" s="19"/>
      <c r="BJ233" s="19"/>
      <c r="BK233" s="19"/>
      <c r="BL233" s="19"/>
      <c r="BN233" s="19"/>
      <c r="BO233" s="19"/>
      <c r="BP233" s="19"/>
      <c r="BQ233" s="19"/>
      <c r="BX233" s="19"/>
      <c r="BZ233" s="19"/>
      <c r="CA233" s="19"/>
      <c r="CB233" s="19"/>
      <c r="CC233" s="19"/>
      <c r="CD233" s="19"/>
      <c r="CE233" s="19"/>
      <c r="CF233" s="19"/>
      <c r="CG233" s="19"/>
      <c r="CH233" s="19"/>
      <c r="CI233" s="19"/>
      <c r="CJ233" s="19"/>
      <c r="CL233" s="19"/>
      <c r="CM233" s="19"/>
      <c r="CN233" s="19"/>
      <c r="CO233" s="19"/>
      <c r="CP233" s="19"/>
      <c r="CR233" s="19"/>
      <c r="CS233" s="19"/>
      <c r="CT233" s="19"/>
      <c r="CU233" s="19"/>
      <c r="CV233" s="19"/>
      <c r="CW233" s="15"/>
      <c r="CX233" s="15"/>
      <c r="CY233" s="21"/>
      <c r="CZ233" s="15"/>
      <c r="DA233" s="15"/>
      <c r="DB233" s="15"/>
      <c r="DC233" s="15"/>
      <c r="DD233" s="10"/>
      <c r="DE233" s="10"/>
      <c r="DF233" s="10"/>
      <c r="DG233" s="9"/>
      <c r="DH233" s="10"/>
      <c r="DI233" s="10"/>
      <c r="DJ233" s="10"/>
      <c r="DK233" s="10"/>
      <c r="DL233" s="10"/>
      <c r="DM233" s="10"/>
      <c r="DN233" s="10"/>
      <c r="DO233" s="10"/>
      <c r="DP233" s="10"/>
      <c r="DQ233" s="10"/>
      <c r="DR233" s="10"/>
      <c r="DS233" s="10"/>
      <c r="DT233" s="10"/>
      <c r="DU233" s="10"/>
      <c r="DV233" s="10"/>
      <c r="DW233" s="10"/>
      <c r="DX233" s="10"/>
      <c r="DY233" s="10"/>
      <c r="DZ233" s="10"/>
      <c r="EA233" s="10"/>
      <c r="EB233" s="15"/>
      <c r="EC233" s="15"/>
      <c r="ED233" s="15"/>
      <c r="EE233" s="15"/>
      <c r="EF233" s="15"/>
      <c r="EG233" s="15"/>
      <c r="EH233" s="15"/>
      <c r="EI233" s="15"/>
      <c r="EJ233" s="15"/>
      <c r="EK233" s="15"/>
      <c r="EL233" s="15"/>
      <c r="EM233" s="15"/>
      <c r="EN233" s="15"/>
      <c r="EO233" s="15"/>
      <c r="EP233" s="15"/>
      <c r="EQ233" s="15"/>
      <c r="ER233" s="15"/>
      <c r="ES233" s="15"/>
      <c r="ET233" s="15"/>
      <c r="EU233" s="15"/>
      <c r="EV233" s="15"/>
      <c r="EW233" s="15"/>
      <c r="EX233" s="15"/>
      <c r="EY233" s="15"/>
      <c r="EZ233" s="15"/>
      <c r="FA233" s="15"/>
      <c r="FB233" s="15"/>
      <c r="FC233" s="15"/>
      <c r="FD233" s="15"/>
      <c r="FE233" s="15"/>
      <c r="FF233" s="15"/>
      <c r="FG233" s="15"/>
      <c r="FH233" s="15"/>
      <c r="FI233" s="15"/>
      <c r="FJ233" s="15"/>
      <c r="FK233" s="15"/>
      <c r="FL233" s="15"/>
      <c r="FM233" s="15"/>
      <c r="FN233" s="15"/>
      <c r="FO233" s="15"/>
    </row>
    <row r="234" spans="2:176" s="2" customFormat="1" ht="15" customHeight="1">
      <c r="B234" s="8" t="s">
        <v>204</v>
      </c>
      <c r="C234" s="2">
        <f>(13+25/60+11/3600)</f>
        <v>13.419722222222221</v>
      </c>
      <c r="D234" s="2">
        <f>-11-9.5/60</f>
        <v>-11.158333333333333</v>
      </c>
      <c r="E234" s="17">
        <f t="shared" si="13"/>
        <v>158.3813141900217</v>
      </c>
      <c r="F234" s="17">
        <f t="shared" si="29"/>
        <v>-11.291677699003072</v>
      </c>
      <c r="G234" s="17">
        <f t="shared" si="30"/>
        <v>-14.072369883828495</v>
      </c>
      <c r="H234" s="17">
        <f t="shared" si="31"/>
        <v>4.2833657197078132</v>
      </c>
      <c r="I234" s="19">
        <f t="shared" si="32"/>
        <v>158.38234378181326</v>
      </c>
      <c r="J234" s="19">
        <f t="shared" si="33"/>
        <v>-11.289952743418851</v>
      </c>
      <c r="L234" s="20"/>
      <c r="N234" s="15"/>
      <c r="O234" s="24" t="s">
        <v>197</v>
      </c>
      <c r="P234" s="15">
        <v>0</v>
      </c>
      <c r="Q234" s="15"/>
      <c r="R234" s="15"/>
      <c r="S234" s="15"/>
      <c r="T234" s="15"/>
      <c r="U234" s="15"/>
      <c r="V234" s="15"/>
      <c r="W234" s="15"/>
      <c r="X234" s="15"/>
      <c r="Y234" s="15">
        <f t="shared" si="34"/>
        <v>113.46431988799253</v>
      </c>
      <c r="Z234" s="15">
        <f t="shared" si="35"/>
        <v>113.46431988799253</v>
      </c>
      <c r="AA234" s="15">
        <f t="shared" si="42"/>
        <v>11.841778385568203</v>
      </c>
      <c r="AB234" s="15">
        <f t="shared" si="36"/>
        <v>1</v>
      </c>
      <c r="AC234" s="15">
        <f t="shared" si="14"/>
        <v>0.32947866008001853</v>
      </c>
      <c r="AD234" s="15">
        <f t="shared" si="37"/>
        <v>0.32947866008001853</v>
      </c>
      <c r="AE234" s="15">
        <f t="shared" si="38"/>
        <v>0.22857311409614112</v>
      </c>
      <c r="AF234" s="15">
        <f t="shared" si="39"/>
        <v>0.5580517741761597</v>
      </c>
      <c r="AG234" s="15">
        <f t="shared" si="40"/>
        <v>66.034616974863141</v>
      </c>
      <c r="AH234" s="15">
        <f t="shared" si="41"/>
        <v>293.96538302513687</v>
      </c>
      <c r="AI234" s="15">
        <f t="shared" si="15"/>
        <v>-25.358221614431798</v>
      </c>
      <c r="AJ234" s="21">
        <f t="shared" si="16"/>
        <v>-10.739335533532444</v>
      </c>
      <c r="AK234" s="21">
        <f t="shared" si="17"/>
        <v>-10.739335533532444</v>
      </c>
      <c r="AL234" s="8" t="s">
        <v>197</v>
      </c>
      <c r="AM234" s="21">
        <f t="shared" si="18"/>
        <v>293.96538302513687</v>
      </c>
      <c r="AN234" s="21">
        <f t="shared" si="19"/>
        <v>-10.739335533532444</v>
      </c>
      <c r="AO234" s="21"/>
      <c r="AP234" s="21"/>
      <c r="AQ234" s="21"/>
      <c r="AR234" s="21"/>
      <c r="AS234" s="15"/>
      <c r="AT234" s="21"/>
      <c r="AU234" s="22"/>
      <c r="AV234" s="21"/>
      <c r="AW234" s="15"/>
      <c r="AX234" s="21"/>
      <c r="AY234" s="15"/>
      <c r="AZ234" s="15"/>
      <c r="BA234" s="15"/>
      <c r="BB234" s="15"/>
      <c r="BC234" s="15"/>
      <c r="BD234" s="19"/>
      <c r="BF234" s="19"/>
      <c r="BH234" s="19"/>
      <c r="BI234" s="19"/>
      <c r="BJ234" s="19"/>
      <c r="BK234" s="19"/>
      <c r="BL234" s="19"/>
      <c r="BN234" s="19"/>
      <c r="BO234" s="19"/>
      <c r="BP234" s="19"/>
      <c r="BQ234" s="19"/>
      <c r="BX234" s="19"/>
      <c r="BZ234" s="19"/>
      <c r="CA234" s="19"/>
      <c r="CB234" s="19"/>
      <c r="CC234" s="19"/>
      <c r="CD234" s="19"/>
      <c r="CE234" s="19"/>
      <c r="CF234" s="19"/>
      <c r="CG234" s="19"/>
      <c r="CH234" s="19"/>
      <c r="CI234" s="19"/>
      <c r="CJ234" s="19"/>
      <c r="CL234" s="19"/>
      <c r="CM234" s="19"/>
      <c r="CN234" s="19"/>
      <c r="CO234" s="19"/>
      <c r="CP234" s="19"/>
      <c r="CR234" s="19"/>
      <c r="CS234" s="19"/>
      <c r="CT234" s="19"/>
      <c r="CU234" s="19"/>
      <c r="CV234" s="19"/>
      <c r="CW234" s="15"/>
      <c r="CX234" s="15"/>
      <c r="CY234" s="21"/>
      <c r="CZ234" s="15"/>
      <c r="DA234" s="15"/>
      <c r="DB234" s="15"/>
      <c r="DC234" s="15"/>
      <c r="DD234" s="10"/>
      <c r="DE234" s="10"/>
      <c r="DF234" s="10"/>
      <c r="DG234" s="9"/>
      <c r="DH234" s="10"/>
      <c r="DI234" s="10"/>
      <c r="DJ234" s="10"/>
      <c r="DK234" s="10"/>
      <c r="DL234" s="10"/>
      <c r="DM234" s="10"/>
      <c r="DN234" s="10"/>
      <c r="DO234" s="10"/>
      <c r="DP234" s="10"/>
      <c r="DQ234" s="10"/>
      <c r="DR234" s="10"/>
      <c r="DS234" s="10"/>
      <c r="DT234" s="10"/>
      <c r="DU234" s="10"/>
      <c r="DV234" s="10"/>
      <c r="DW234" s="10"/>
      <c r="DX234" s="10"/>
      <c r="DY234" s="10"/>
      <c r="DZ234" s="10"/>
      <c r="EA234" s="10"/>
      <c r="EB234" s="15"/>
      <c r="EC234" s="15"/>
      <c r="ED234" s="15"/>
      <c r="EE234" s="15"/>
      <c r="EF234" s="15"/>
      <c r="EG234" s="15"/>
      <c r="EH234" s="15"/>
      <c r="EI234" s="15"/>
      <c r="EJ234" s="15"/>
      <c r="EK234" s="15"/>
      <c r="EL234" s="15"/>
      <c r="EM234" s="15"/>
      <c r="EN234" s="15"/>
      <c r="EO234" s="15"/>
      <c r="EP234" s="15"/>
      <c r="EQ234" s="15"/>
      <c r="ER234" s="15"/>
      <c r="ES234" s="15"/>
      <c r="ET234" s="15"/>
      <c r="EU234" s="15"/>
      <c r="EV234" s="15"/>
      <c r="EW234" s="15"/>
      <c r="EX234" s="15"/>
      <c r="EY234" s="15"/>
      <c r="EZ234" s="15"/>
      <c r="FA234" s="15"/>
      <c r="FB234" s="15"/>
      <c r="FC234" s="15"/>
      <c r="FD234" s="15"/>
      <c r="FE234" s="15"/>
      <c r="FF234" s="15"/>
      <c r="FG234" s="15"/>
      <c r="FH234" s="15"/>
      <c r="FI234" s="15"/>
      <c r="FJ234" s="15"/>
      <c r="FK234" s="15"/>
      <c r="FL234" s="15"/>
      <c r="FM234" s="15"/>
      <c r="FN234" s="15"/>
      <c r="FO234" s="15"/>
    </row>
    <row r="235" spans="2:176" s="2" customFormat="1" ht="15" customHeight="1">
      <c r="B235" s="8" t="s">
        <v>215</v>
      </c>
      <c r="C235" s="2">
        <f>(9+8/60+1/3600)</f>
        <v>9.1336111111111098</v>
      </c>
      <c r="D235" s="2">
        <f>-43-25.8/60</f>
        <v>-43.43</v>
      </c>
      <c r="E235" s="17">
        <f t="shared" si="13"/>
        <v>222.68793507205734</v>
      </c>
      <c r="F235" s="17">
        <f t="shared" si="29"/>
        <v>-43.534676035110742</v>
      </c>
      <c r="G235" s="17">
        <f t="shared" si="30"/>
        <v>-14.072369883828495</v>
      </c>
      <c r="H235" s="17">
        <f t="shared" si="31"/>
        <v>4.2833657197078132</v>
      </c>
      <c r="I235" s="19">
        <f t="shared" si="32"/>
        <v>222.6885626353515</v>
      </c>
      <c r="J235" s="19">
        <f t="shared" si="33"/>
        <v>-43.533349835876301</v>
      </c>
      <c r="L235" s="20"/>
      <c r="N235" s="15"/>
      <c r="O235" s="24" t="s">
        <v>198</v>
      </c>
      <c r="P235" s="15">
        <v>0</v>
      </c>
      <c r="Q235" s="15"/>
      <c r="R235" s="15"/>
      <c r="S235" s="15"/>
      <c r="T235" s="15"/>
      <c r="U235" s="15"/>
      <c r="V235" s="15"/>
      <c r="W235" s="15"/>
      <c r="X235" s="15"/>
      <c r="Y235" s="15">
        <f t="shared" si="34"/>
        <v>186.92665824883215</v>
      </c>
      <c r="Z235" s="15">
        <f t="shared" si="35"/>
        <v>173.07334175116785</v>
      </c>
      <c r="AA235" s="15">
        <f t="shared" si="42"/>
        <v>-8.1770014021128148</v>
      </c>
      <c r="AB235" s="15">
        <f t="shared" si="36"/>
        <v>1</v>
      </c>
      <c r="AC235" s="15">
        <f t="shared" si="14"/>
        <v>6.2480038197316752</v>
      </c>
      <c r="AD235" s="15">
        <f t="shared" si="37"/>
        <v>6.2480038197316752</v>
      </c>
      <c r="AE235" s="15">
        <f t="shared" si="38"/>
        <v>-1.1914925491810946</v>
      </c>
      <c r="AF235" s="15">
        <f t="shared" si="39"/>
        <v>5.0565112705505806</v>
      </c>
      <c r="AG235" s="15">
        <f t="shared" si="40"/>
        <v>13.943614399766943</v>
      </c>
      <c r="AH235" s="15">
        <f t="shared" si="41"/>
        <v>13.943614399766943</v>
      </c>
      <c r="AI235" s="15">
        <f t="shared" si="15"/>
        <v>-45.377001402112818</v>
      </c>
      <c r="AJ235" s="21">
        <f t="shared" si="16"/>
        <v>-60.304512761344967</v>
      </c>
      <c r="AK235" s="21">
        <f t="shared" si="17"/>
        <v>-60.304512761344967</v>
      </c>
      <c r="AL235" s="8" t="s">
        <v>198</v>
      </c>
      <c r="AM235" s="21">
        <f t="shared" si="18"/>
        <v>13.943614399766943</v>
      </c>
      <c r="AN235" s="21">
        <f t="shared" si="19"/>
        <v>-60.304512761344967</v>
      </c>
      <c r="AO235" s="21"/>
      <c r="AP235" s="21"/>
      <c r="AQ235" s="21"/>
      <c r="AR235" s="21"/>
      <c r="AS235" s="15"/>
      <c r="AT235" s="21"/>
      <c r="AU235" s="22"/>
      <c r="AV235" s="21"/>
      <c r="AW235" s="15"/>
      <c r="AX235" s="21"/>
      <c r="AY235" s="15"/>
      <c r="AZ235" s="15"/>
      <c r="BA235" s="15"/>
      <c r="BB235" s="15"/>
      <c r="BC235" s="15"/>
      <c r="BD235" s="19"/>
      <c r="BF235" s="19"/>
      <c r="BH235" s="19"/>
      <c r="BI235" s="19"/>
      <c r="BJ235" s="19"/>
      <c r="BK235" s="19"/>
      <c r="BL235" s="19"/>
      <c r="BN235" s="19"/>
      <c r="BO235" s="19"/>
      <c r="BP235" s="19"/>
      <c r="BQ235" s="19"/>
      <c r="BX235" s="19"/>
      <c r="BZ235" s="19"/>
      <c r="CA235" s="19"/>
      <c r="CB235" s="19"/>
      <c r="CC235" s="19"/>
      <c r="CD235" s="19"/>
      <c r="CE235" s="19"/>
      <c r="CF235" s="19"/>
      <c r="CG235" s="19"/>
      <c r="CH235" s="19"/>
      <c r="CI235" s="19"/>
      <c r="CJ235" s="19"/>
      <c r="CL235" s="19"/>
      <c r="CM235" s="19"/>
      <c r="CN235" s="19"/>
      <c r="CO235" s="19"/>
      <c r="CP235" s="19"/>
      <c r="CR235" s="19"/>
      <c r="CS235" s="19"/>
      <c r="CT235" s="19"/>
      <c r="CU235" s="19"/>
      <c r="CV235" s="19"/>
      <c r="CW235" s="15"/>
      <c r="CX235" s="15"/>
      <c r="CY235" s="21"/>
      <c r="CZ235" s="15"/>
      <c r="DA235" s="15"/>
      <c r="DB235" s="15"/>
      <c r="DC235" s="15"/>
      <c r="DD235" s="10"/>
      <c r="DE235" s="10"/>
      <c r="DF235" s="10"/>
      <c r="DG235" s="9"/>
      <c r="DH235" s="10"/>
      <c r="DI235" s="10"/>
      <c r="DJ235" s="10"/>
      <c r="DK235" s="10"/>
      <c r="DL235" s="10"/>
      <c r="DM235" s="10"/>
      <c r="DN235" s="10"/>
      <c r="DO235" s="10"/>
      <c r="DP235" s="10"/>
      <c r="DQ235" s="10"/>
      <c r="DR235" s="10"/>
      <c r="DS235" s="10"/>
      <c r="DT235" s="10"/>
      <c r="DU235" s="10"/>
      <c r="DV235" s="10"/>
      <c r="DW235" s="10"/>
      <c r="DX235" s="10"/>
      <c r="DY235" s="10"/>
      <c r="DZ235" s="10"/>
      <c r="EA235" s="10"/>
      <c r="EB235" s="15"/>
      <c r="EC235" s="15"/>
      <c r="ED235" s="15"/>
      <c r="EE235" s="15"/>
      <c r="EF235" s="15"/>
      <c r="EG235" s="15"/>
      <c r="EH235" s="15"/>
      <c r="EI235" s="15"/>
      <c r="EJ235" s="15"/>
      <c r="EK235" s="15"/>
      <c r="EL235" s="15"/>
      <c r="EM235" s="15"/>
      <c r="EN235" s="15"/>
      <c r="EO235" s="15"/>
      <c r="EP235" s="15"/>
      <c r="EQ235" s="15"/>
      <c r="ER235" s="15"/>
      <c r="ES235" s="15"/>
      <c r="ET235" s="15"/>
      <c r="EU235" s="15"/>
      <c r="EV235" s="15"/>
      <c r="EW235" s="15"/>
      <c r="EX235" s="15"/>
      <c r="EY235" s="15"/>
      <c r="EZ235" s="15"/>
      <c r="FA235" s="15"/>
      <c r="FB235" s="15"/>
      <c r="FC235" s="15"/>
      <c r="FD235" s="15"/>
      <c r="FE235" s="15"/>
      <c r="FF235" s="15"/>
      <c r="FG235" s="15"/>
      <c r="FH235" s="15"/>
      <c r="FI235" s="15"/>
      <c r="FJ235" s="15"/>
      <c r="FK235" s="15"/>
      <c r="FL235" s="15"/>
      <c r="FM235" s="15"/>
      <c r="FN235" s="15"/>
      <c r="FO235" s="15"/>
    </row>
    <row r="236" spans="2:176" s="2" customFormat="1" ht="15" customHeight="1">
      <c r="B236" s="8" t="s">
        <v>205</v>
      </c>
      <c r="C236" s="2">
        <f>(18+36/60+54/3600)</f>
        <v>18.615000000000002</v>
      </c>
      <c r="D236" s="2">
        <f>38+47/60</f>
        <v>38.783333333333331</v>
      </c>
      <c r="E236" s="17">
        <f t="shared" si="13"/>
        <v>80.408886952504531</v>
      </c>
      <c r="F236" s="17">
        <f t="shared" si="29"/>
        <v>38.806276644250467</v>
      </c>
      <c r="G236" s="17">
        <f t="shared" si="30"/>
        <v>-14.072369883828495</v>
      </c>
      <c r="H236" s="17">
        <f t="shared" si="31"/>
        <v>4.2833657197078132</v>
      </c>
      <c r="I236" s="19">
        <f t="shared" si="32"/>
        <v>80.410075916075101</v>
      </c>
      <c r="J236" s="19">
        <f t="shared" si="33"/>
        <v>38.806407160353181</v>
      </c>
      <c r="L236" s="20"/>
      <c r="N236" s="15"/>
      <c r="O236" s="24" t="s">
        <v>199</v>
      </c>
      <c r="P236" s="15">
        <v>0</v>
      </c>
      <c r="Q236" s="15"/>
      <c r="R236" s="15"/>
      <c r="S236" s="15"/>
      <c r="T236" s="15"/>
      <c r="U236" s="15"/>
      <c r="V236" s="15"/>
      <c r="W236" s="15"/>
      <c r="X236" s="15"/>
      <c r="Y236" s="15">
        <f t="shared" si="34"/>
        <v>45.721889546932971</v>
      </c>
      <c r="Z236" s="15">
        <f t="shared" si="35"/>
        <v>45.721889546932971</v>
      </c>
      <c r="AA236" s="15">
        <f t="shared" si="42"/>
        <v>-60.938293481850195</v>
      </c>
      <c r="AB236" s="15">
        <f t="shared" si="36"/>
        <v>0</v>
      </c>
      <c r="AC236" s="15">
        <f t="shared" si="14"/>
        <v>0.74015145988499642</v>
      </c>
      <c r="AD236" s="15">
        <f t="shared" si="37"/>
        <v>-0.74015145988499642</v>
      </c>
      <c r="AE236" s="15">
        <f t="shared" si="38"/>
        <v>-2.5133747173716978</v>
      </c>
      <c r="AF236" s="15">
        <f t="shared" si="39"/>
        <v>-3.2535261772566941</v>
      </c>
      <c r="AG236" s="15">
        <f t="shared" si="40"/>
        <v>21.100220054829226</v>
      </c>
      <c r="AH236" s="15">
        <f t="shared" si="41"/>
        <v>201.10022005482924</v>
      </c>
      <c r="AI236" s="15">
        <f t="shared" si="15"/>
        <v>-98.138293481850198</v>
      </c>
      <c r="AJ236" s="21">
        <f t="shared" si="16"/>
        <v>-14.972563420642544</v>
      </c>
      <c r="AK236" s="21">
        <f t="shared" si="17"/>
        <v>-14.972563420642544</v>
      </c>
      <c r="AL236" s="8" t="s">
        <v>199</v>
      </c>
      <c r="AM236" s="21">
        <f t="shared" si="18"/>
        <v>201.10022005482924</v>
      </c>
      <c r="AN236" s="21">
        <f t="shared" si="19"/>
        <v>-14.972563420642544</v>
      </c>
      <c r="AO236" s="21"/>
      <c r="AP236" s="21"/>
      <c r="AQ236" s="21"/>
      <c r="AR236" s="21"/>
      <c r="AS236" s="15"/>
      <c r="AT236" s="21"/>
      <c r="AU236" s="22"/>
      <c r="AV236" s="21"/>
      <c r="AW236" s="15"/>
      <c r="AX236" s="21"/>
      <c r="AY236" s="15"/>
      <c r="AZ236" s="15"/>
      <c r="BA236" s="15"/>
      <c r="BB236" s="15"/>
      <c r="BC236" s="15"/>
      <c r="BD236" s="19"/>
      <c r="BF236" s="19"/>
      <c r="BH236" s="19"/>
      <c r="BI236" s="19"/>
      <c r="BJ236" s="19"/>
      <c r="BK236" s="19"/>
      <c r="BL236" s="19"/>
      <c r="BN236" s="19"/>
      <c r="BO236" s="19"/>
      <c r="BP236" s="19"/>
      <c r="BQ236" s="19"/>
      <c r="BX236" s="19"/>
      <c r="BZ236" s="19"/>
      <c r="CA236" s="19"/>
      <c r="CB236" s="19"/>
      <c r="CC236" s="19"/>
      <c r="CD236" s="19"/>
      <c r="CE236" s="19"/>
      <c r="CF236" s="19"/>
      <c r="CG236" s="19"/>
      <c r="CH236" s="19"/>
      <c r="CI236" s="19"/>
      <c r="CJ236" s="19"/>
      <c r="CL236" s="19"/>
      <c r="CM236" s="19"/>
      <c r="CN236" s="19"/>
      <c r="CO236" s="19"/>
      <c r="CP236" s="19"/>
      <c r="CR236" s="19"/>
      <c r="CS236" s="19"/>
      <c r="CT236" s="19"/>
      <c r="CU236" s="19"/>
      <c r="CV236" s="19"/>
      <c r="CW236" s="15"/>
      <c r="CX236" s="15"/>
      <c r="CY236" s="21"/>
      <c r="CZ236" s="15"/>
      <c r="DA236" s="15"/>
      <c r="DB236" s="15"/>
      <c r="DC236" s="15"/>
      <c r="DD236" s="10"/>
      <c r="DE236" s="10"/>
      <c r="DF236" s="10"/>
      <c r="DG236" s="9"/>
      <c r="DH236" s="10"/>
      <c r="DI236" s="10"/>
      <c r="DJ236" s="10"/>
      <c r="DK236" s="10"/>
      <c r="DL236" s="10"/>
      <c r="DM236" s="10"/>
      <c r="DN236" s="10"/>
      <c r="DO236" s="10"/>
      <c r="DP236" s="10"/>
      <c r="DQ236" s="10"/>
      <c r="DR236" s="10"/>
      <c r="DS236" s="10"/>
      <c r="DT236" s="10"/>
      <c r="DU236" s="10"/>
      <c r="DV236" s="10"/>
      <c r="DW236" s="10"/>
      <c r="DX236" s="10"/>
      <c r="DY236" s="10"/>
      <c r="DZ236" s="10"/>
      <c r="EA236" s="10"/>
      <c r="EB236" s="15"/>
      <c r="EC236" s="15"/>
      <c r="ED236" s="15"/>
      <c r="EE236" s="15"/>
      <c r="EF236" s="15"/>
      <c r="EG236" s="15"/>
      <c r="EH236" s="15"/>
      <c r="EI236" s="15"/>
      <c r="EJ236" s="15"/>
      <c r="EK236" s="15"/>
      <c r="EL236" s="15"/>
      <c r="EM236" s="15"/>
      <c r="EN236" s="15"/>
      <c r="EO236" s="15"/>
      <c r="EP236" s="15"/>
      <c r="EQ236" s="15"/>
      <c r="ER236" s="15"/>
      <c r="ES236" s="15"/>
      <c r="ET236" s="15"/>
      <c r="EU236" s="15"/>
      <c r="EV236" s="15"/>
      <c r="EW236" s="15"/>
      <c r="EX236" s="15"/>
      <c r="EY236" s="15"/>
      <c r="EZ236" s="15"/>
      <c r="FA236" s="15"/>
      <c r="FB236" s="15"/>
      <c r="FC236" s="15"/>
      <c r="FD236" s="15"/>
      <c r="FE236" s="15"/>
      <c r="FF236" s="15"/>
      <c r="FG236" s="15"/>
      <c r="FH236" s="15"/>
      <c r="FI236" s="15"/>
      <c r="FJ236" s="15"/>
      <c r="FK236" s="15"/>
      <c r="FL236" s="15"/>
      <c r="FM236" s="15"/>
      <c r="FN236" s="15"/>
      <c r="FO236" s="15"/>
    </row>
    <row r="237" spans="2:176" s="2" customFormat="1" ht="15" customHeight="1">
      <c r="B237" s="8" t="s">
        <v>206</v>
      </c>
      <c r="C237" s="2">
        <f>(14+50/60+51/3600)</f>
        <v>14.8475</v>
      </c>
      <c r="D237" s="2">
        <f>-16-2.3/60</f>
        <v>-16.038333333333334</v>
      </c>
      <c r="E237" s="17">
        <f t="shared" si="13"/>
        <v>136.96863833595833</v>
      </c>
      <c r="F237" s="17">
        <f t="shared" si="29"/>
        <v>-16.143490717200084</v>
      </c>
      <c r="G237" s="17">
        <f t="shared" si="30"/>
        <v>-14.072369883828495</v>
      </c>
      <c r="H237" s="17">
        <f t="shared" si="31"/>
        <v>4.2833657197078132</v>
      </c>
      <c r="I237" s="19">
        <f t="shared" si="32"/>
        <v>136.97003977512264</v>
      </c>
      <c r="J237" s="19">
        <f t="shared" si="33"/>
        <v>-16.14204326837811</v>
      </c>
      <c r="L237" s="20"/>
      <c r="N237" s="15"/>
      <c r="O237" s="24" t="s">
        <v>200</v>
      </c>
      <c r="P237" s="15">
        <v>0</v>
      </c>
      <c r="Q237" s="15"/>
      <c r="R237" s="15"/>
      <c r="S237" s="15"/>
      <c r="T237" s="15"/>
      <c r="U237" s="15"/>
      <c r="V237" s="15"/>
      <c r="W237" s="15"/>
      <c r="X237" s="15"/>
      <c r="Y237" s="15">
        <f t="shared" si="34"/>
        <v>7.9919067369542631</v>
      </c>
      <c r="Z237" s="15">
        <f t="shared" si="35"/>
        <v>7.9919067369542631</v>
      </c>
      <c r="AA237" s="15">
        <f t="shared" si="42"/>
        <v>-15.753420561967472</v>
      </c>
      <c r="AB237" s="15">
        <f t="shared" si="36"/>
        <v>0</v>
      </c>
      <c r="AC237" s="15">
        <f t="shared" si="14"/>
        <v>5.4064006330762551</v>
      </c>
      <c r="AD237" s="15">
        <f t="shared" si="37"/>
        <v>-5.4064006330762551</v>
      </c>
      <c r="AE237" s="15">
        <f t="shared" si="38"/>
        <v>-2.0289655788898511</v>
      </c>
      <c r="AF237" s="15">
        <f t="shared" si="39"/>
        <v>-7.4353662119661061</v>
      </c>
      <c r="AG237" s="15">
        <f t="shared" si="40"/>
        <v>9.5838741823087439</v>
      </c>
      <c r="AH237" s="15">
        <f t="shared" si="41"/>
        <v>189.58387418230873</v>
      </c>
      <c r="AI237" s="15">
        <f t="shared" si="15"/>
        <v>-52.953420561967476</v>
      </c>
      <c r="AJ237" s="21">
        <f t="shared" si="16"/>
        <v>36.513953741950729</v>
      </c>
      <c r="AK237" s="21">
        <f t="shared" si="17"/>
        <v>36.513953741950729</v>
      </c>
      <c r="AL237" s="8" t="s">
        <v>200</v>
      </c>
      <c r="AM237" s="21">
        <f t="shared" si="18"/>
        <v>189.58387418230873</v>
      </c>
      <c r="AN237" s="21">
        <f t="shared" si="19"/>
        <v>36.513953741950729</v>
      </c>
      <c r="AO237" s="21"/>
      <c r="AP237" s="21"/>
      <c r="AQ237" s="21"/>
      <c r="AR237" s="21"/>
      <c r="AS237" s="15"/>
      <c r="AT237" s="21"/>
      <c r="AU237" s="22"/>
      <c r="AV237" s="21"/>
      <c r="AW237" s="15"/>
      <c r="AX237" s="21"/>
      <c r="AY237" s="15"/>
      <c r="AZ237" s="15"/>
      <c r="BA237" s="15"/>
      <c r="BB237" s="15"/>
      <c r="BC237" s="15"/>
      <c r="BD237" s="19"/>
      <c r="BF237" s="19"/>
      <c r="BH237" s="19"/>
      <c r="BI237" s="19"/>
      <c r="BJ237" s="19"/>
      <c r="BK237" s="19"/>
      <c r="BL237" s="19"/>
      <c r="BN237" s="19"/>
      <c r="BO237" s="19"/>
      <c r="BP237" s="19"/>
      <c r="BQ237" s="19"/>
      <c r="BX237" s="19"/>
      <c r="BZ237" s="19"/>
      <c r="CA237" s="19"/>
      <c r="CB237" s="19"/>
      <c r="CC237" s="19"/>
      <c r="CD237" s="19"/>
      <c r="CE237" s="19"/>
      <c r="CF237" s="19"/>
      <c r="CG237" s="19"/>
      <c r="CH237" s="19"/>
      <c r="CI237" s="19"/>
      <c r="CJ237" s="19"/>
      <c r="CL237" s="19"/>
      <c r="CM237" s="19"/>
      <c r="CN237" s="19"/>
      <c r="CO237" s="19"/>
      <c r="CP237" s="19"/>
      <c r="CR237" s="19"/>
      <c r="CS237" s="19"/>
      <c r="CT237" s="19"/>
      <c r="CU237" s="19"/>
      <c r="CV237" s="19"/>
      <c r="CW237" s="15"/>
      <c r="CX237" s="15"/>
      <c r="CY237" s="21"/>
      <c r="CZ237" s="15"/>
      <c r="DA237" s="15"/>
      <c r="DB237" s="15"/>
      <c r="DC237" s="15"/>
      <c r="DD237" s="10"/>
      <c r="DE237" s="10"/>
      <c r="DF237" s="10"/>
      <c r="DG237" s="9"/>
      <c r="DH237" s="10"/>
      <c r="DI237" s="10"/>
      <c r="DJ237" s="10"/>
      <c r="DK237" s="10"/>
      <c r="DL237" s="10"/>
      <c r="DM237" s="10"/>
      <c r="DN237" s="10"/>
      <c r="DO237" s="10"/>
      <c r="DP237" s="10"/>
      <c r="DQ237" s="10"/>
      <c r="DR237" s="10"/>
      <c r="DS237" s="10"/>
      <c r="DT237" s="10"/>
      <c r="DU237" s="10"/>
      <c r="DV237" s="10"/>
      <c r="DW237" s="10"/>
      <c r="DX237" s="10"/>
      <c r="DY237" s="10"/>
      <c r="DZ237" s="10"/>
      <c r="EA237" s="10"/>
      <c r="EB237" s="15"/>
      <c r="EC237" s="15"/>
      <c r="ED237" s="15"/>
      <c r="EE237" s="15"/>
      <c r="EF237" s="15"/>
      <c r="EG237" s="15"/>
      <c r="EH237" s="15"/>
      <c r="EI237" s="15"/>
      <c r="EJ237" s="15"/>
      <c r="EK237" s="15"/>
      <c r="EL237" s="15"/>
      <c r="EM237" s="15"/>
      <c r="EN237" s="15"/>
      <c r="EO237" s="15"/>
      <c r="EP237" s="15"/>
      <c r="EQ237" s="15"/>
      <c r="ER237" s="15"/>
      <c r="ES237" s="15"/>
      <c r="ET237" s="15"/>
      <c r="EU237" s="15"/>
      <c r="EV237" s="15"/>
      <c r="EW237" s="15"/>
      <c r="EX237" s="15"/>
      <c r="EY237" s="15"/>
      <c r="EZ237" s="15"/>
      <c r="FA237" s="15"/>
      <c r="FB237" s="15"/>
      <c r="FC237" s="15"/>
      <c r="FD237" s="15"/>
      <c r="FE237" s="15"/>
      <c r="FF237" s="15"/>
      <c r="FG237" s="15"/>
      <c r="FH237" s="15"/>
      <c r="FI237" s="15"/>
      <c r="FJ237" s="15"/>
      <c r="FK237" s="15"/>
      <c r="FL237" s="15"/>
      <c r="FM237" s="15"/>
      <c r="FN237" s="15"/>
      <c r="FO237" s="15"/>
    </row>
    <row r="238" spans="2:176" s="2" customFormat="1" ht="15" customHeight="1">
      <c r="B238" s="8"/>
      <c r="L238" s="20"/>
      <c r="N238" s="15"/>
      <c r="O238" s="24" t="s">
        <v>248</v>
      </c>
      <c r="P238" s="15">
        <v>1</v>
      </c>
      <c r="Q238" s="15">
        <f>IK181</f>
        <v>212.04118052903465</v>
      </c>
      <c r="R238" s="15">
        <f>IK182</f>
        <v>199.50458798511863</v>
      </c>
      <c r="S238" s="15">
        <f>IK183</f>
        <v>214.54849910062484</v>
      </c>
      <c r="T238" s="15">
        <f>IJ181</f>
        <v>-2.5691429726167434</v>
      </c>
      <c r="U238" s="15">
        <f>IJ182</f>
        <v>-2.5680569403041957</v>
      </c>
      <c r="V238" s="15">
        <f>IJ183</f>
        <v>-2.5693601926072143</v>
      </c>
      <c r="W238" s="15"/>
      <c r="X238" s="15"/>
      <c r="Y238" s="15">
        <f>MOD(Q238+$U$5,360)</f>
        <v>265.54118052903465</v>
      </c>
      <c r="Z238" s="15">
        <f>IF(Y238&gt;180,360-Y238,Y238)</f>
        <v>94.458819470965352</v>
      </c>
      <c r="AA238" s="15">
        <f>T238</f>
        <v>-2.5691429726167434</v>
      </c>
      <c r="AB238" s="15">
        <f>IF(Y238&gt;90,IF(Y238&lt;270,1,0),0)</f>
        <v>1</v>
      </c>
      <c r="AC238" s="15">
        <f t="shared" si="14"/>
        <v>5.9188948546590993E-2</v>
      </c>
      <c r="AD238" s="15">
        <f>IF(AB238=0,IF($S$4="N",-AC238,AC238),IF($S$4="N",AC238,-AC238))</f>
        <v>5.9188948546590993E-2</v>
      </c>
      <c r="AE238" s="15">
        <f>IF(AA238&gt;0,ABS(TAN(RADIANS(AA238))/SIN(RADIANS(Y238))),-ABS(TAN(RADIANS(AA238))/SIN(RADIANS(Y238))))</f>
        <v>-4.5006293178783421E-2</v>
      </c>
      <c r="AF238" s="15">
        <f>AD238+AE238</f>
        <v>1.4182655367807571E-2</v>
      </c>
      <c r="AG238" s="15">
        <f>ABS(DEGREES(ATAN(1/(COS(RADIANS(ABS($U$4)))*AF238))))</f>
        <v>89.352762307155132</v>
      </c>
      <c r="AH238" s="15">
        <f>IF(AF238&lt;0,IF(Y238&lt;180,180+AG238,180-AG238),IF(Y238&lt;180,360-AG238,AG238))</f>
        <v>89.352762307155132</v>
      </c>
      <c r="AI238" s="15">
        <f t="shared" si="15"/>
        <v>-39.769142972616748</v>
      </c>
      <c r="AJ238" s="21">
        <f t="shared" si="16"/>
        <v>-5.1039619035513741</v>
      </c>
      <c r="AK238" s="21">
        <f t="shared" si="17"/>
        <v>-5.1039619035513741</v>
      </c>
      <c r="AL238" s="8" t="s">
        <v>248</v>
      </c>
      <c r="AM238" s="21">
        <f t="shared" si="18"/>
        <v>89.352762307155132</v>
      </c>
      <c r="AN238" s="21">
        <f t="shared" si="19"/>
        <v>-5.1039619035513741</v>
      </c>
      <c r="AO238" s="21"/>
      <c r="AP238" s="21"/>
      <c r="AQ238" s="21"/>
      <c r="AR238" s="21"/>
      <c r="AS238" s="15"/>
      <c r="AT238" s="21"/>
      <c r="AU238" s="22"/>
      <c r="AV238" s="21"/>
      <c r="AW238" s="15"/>
      <c r="AX238" s="21"/>
      <c r="AY238" s="15"/>
      <c r="AZ238" s="15"/>
      <c r="BA238" s="15"/>
      <c r="BB238" s="15"/>
      <c r="BC238" s="15"/>
      <c r="BD238" s="19"/>
      <c r="BF238" s="19"/>
      <c r="BH238" s="19"/>
      <c r="BI238" s="19"/>
      <c r="BJ238" s="19"/>
      <c r="BK238" s="19"/>
      <c r="BL238" s="19"/>
      <c r="BN238" s="19"/>
      <c r="BO238" s="19"/>
      <c r="BP238" s="19"/>
      <c r="BQ238" s="19"/>
      <c r="BX238" s="19"/>
      <c r="BZ238" s="19"/>
      <c r="CA238" s="19"/>
      <c r="CB238" s="19"/>
      <c r="CC238" s="19"/>
      <c r="CD238" s="19"/>
      <c r="CE238" s="19"/>
      <c r="CF238" s="19"/>
      <c r="CG238" s="19"/>
      <c r="CH238" s="19"/>
      <c r="CI238" s="19"/>
      <c r="CJ238" s="19"/>
      <c r="CL238" s="19"/>
      <c r="CM238" s="19"/>
      <c r="CN238" s="19"/>
      <c r="CO238" s="19"/>
      <c r="CP238" s="19"/>
      <c r="CR238" s="19"/>
      <c r="CS238" s="19"/>
      <c r="CT238" s="19"/>
      <c r="CU238" s="19"/>
      <c r="CV238" s="19"/>
      <c r="CW238" s="15"/>
      <c r="CX238" s="15"/>
      <c r="CY238" s="21"/>
      <c r="CZ238" s="15"/>
      <c r="DA238" s="15"/>
      <c r="DB238" s="15"/>
      <c r="DC238" s="15"/>
      <c r="DD238" s="10"/>
      <c r="DE238" s="10"/>
      <c r="DF238" s="10"/>
      <c r="DG238" s="9"/>
      <c r="DH238" s="10"/>
      <c r="DI238" s="10"/>
      <c r="DJ238" s="10"/>
      <c r="DK238" s="10"/>
      <c r="DL238" s="10"/>
      <c r="DM238" s="10"/>
      <c r="DN238" s="10"/>
      <c r="DO238" s="10"/>
      <c r="DP238" s="10"/>
      <c r="DQ238" s="10"/>
      <c r="DR238" s="10"/>
      <c r="DS238" s="10"/>
      <c r="DT238" s="10"/>
      <c r="DU238" s="10"/>
      <c r="DV238" s="10"/>
      <c r="DW238" s="10"/>
      <c r="DX238" s="10"/>
      <c r="DY238" s="10"/>
      <c r="DZ238" s="10"/>
      <c r="EA238" s="10"/>
      <c r="EB238" s="15"/>
      <c r="EC238" s="15"/>
      <c r="ED238" s="15"/>
      <c r="EE238" s="15"/>
      <c r="EF238" s="15"/>
      <c r="EG238" s="15"/>
      <c r="EH238" s="15"/>
      <c r="EI238" s="15"/>
      <c r="EJ238" s="15"/>
      <c r="EK238" s="15"/>
      <c r="EL238" s="15"/>
      <c r="EM238" s="15"/>
      <c r="EN238" s="15"/>
      <c r="EO238" s="15"/>
      <c r="EP238" s="15"/>
      <c r="EQ238" s="15"/>
      <c r="ER238" s="15"/>
      <c r="ES238" s="15"/>
      <c r="ET238" s="15"/>
      <c r="EU238" s="15"/>
      <c r="EV238" s="15"/>
      <c r="EW238" s="15"/>
      <c r="EX238" s="15"/>
      <c r="EY238" s="15"/>
      <c r="EZ238" s="15"/>
      <c r="FA238" s="15"/>
      <c r="FB238" s="15"/>
      <c r="FC238" s="15"/>
      <c r="FD238" s="15"/>
      <c r="FE238" s="15"/>
      <c r="FF238" s="15"/>
      <c r="FG238" s="15"/>
      <c r="FH238" s="15"/>
      <c r="FI238" s="15"/>
      <c r="FJ238" s="15"/>
      <c r="FK238" s="15"/>
      <c r="FL238" s="15"/>
      <c r="FM238" s="15"/>
      <c r="FN238" s="15"/>
      <c r="FO238" s="15"/>
    </row>
    <row r="239" spans="2:176" s="2" customFormat="1" ht="15" customHeight="1">
      <c r="B239" s="8"/>
      <c r="C239" s="8"/>
      <c r="D239" s="8"/>
      <c r="E239" s="8"/>
      <c r="F239" s="8"/>
      <c r="G239" s="8"/>
      <c r="N239" s="15"/>
      <c r="O239" s="24" t="s">
        <v>201</v>
      </c>
      <c r="P239" s="15">
        <v>0</v>
      </c>
      <c r="Q239" s="25"/>
      <c r="R239" s="15"/>
      <c r="S239" s="15"/>
      <c r="T239" s="15"/>
      <c r="U239" s="15"/>
      <c r="V239" s="15"/>
      <c r="W239" s="15"/>
      <c r="X239" s="15"/>
      <c r="Y239" s="15">
        <f t="shared" ref="Y239:Y244" si="43">MOD(V$181+$U$5+I231,360)</f>
        <v>255.4321988299622</v>
      </c>
      <c r="Z239" s="15">
        <f t="shared" ref="Z239:Z244" si="44">IF(Y239&gt;180,360-Y239,Y239)</f>
        <v>104.5678011700378</v>
      </c>
      <c r="AA239" s="15">
        <f t="shared" ref="AA239:AA244" si="45">J231</f>
        <v>56.679371130677154</v>
      </c>
      <c r="AB239" s="15">
        <f t="shared" ref="AB239:AB244" si="46">IF(Y239&gt;90,IF(Y239&lt;270,1,0),0)</f>
        <v>1</v>
      </c>
      <c r="AC239" s="15">
        <f t="shared" si="14"/>
        <v>0.19726001424476258</v>
      </c>
      <c r="AD239" s="15">
        <f t="shared" ref="AD239:AD244" si="47">IF(AB239=0,IF($S$4="N",-AC239,AC239),IF($S$4="N",AC239,-AC239))</f>
        <v>0.19726001424476258</v>
      </c>
      <c r="AE239" s="15">
        <f t="shared" ref="AE239:AE244" si="48">IF(AA239&gt;0,ABS(TAN(RADIANS(AA239))/SIN(RADIANS(Y239))),-ABS(TAN(RADIANS(AA239))/SIN(RADIANS(Y239))))</f>
        <v>1.571689456020442</v>
      </c>
      <c r="AF239" s="15">
        <f t="shared" ref="AF239:AF244" si="49">AD239+AE239</f>
        <v>1.7689494702652047</v>
      </c>
      <c r="AG239" s="15">
        <f t="shared" ref="AG239:AG244" si="50">ABS(DEGREES(ATAN(1/(COS(RADIANS(ABS($U$4)))*AF239))))</f>
        <v>35.363800176344</v>
      </c>
      <c r="AH239" s="15">
        <f t="shared" ref="AH239:AH244" si="51">IF(AF239&lt;0,IF(Y239&lt;180,180+AG239,180-AG239),IF(Y239&lt;180,360-AG239,AG239))</f>
        <v>35.363800176344</v>
      </c>
      <c r="AI239" s="15">
        <f t="shared" si="15"/>
        <v>19.479371130677151</v>
      </c>
      <c r="AJ239" s="21">
        <f t="shared" si="16"/>
        <v>23.275527359243497</v>
      </c>
      <c r="AK239" s="21">
        <f t="shared" si="17"/>
        <v>23.275527359243497</v>
      </c>
      <c r="AL239" s="8" t="s">
        <v>201</v>
      </c>
      <c r="AM239" s="21">
        <f t="shared" si="18"/>
        <v>35.363800176344</v>
      </c>
      <c r="AN239" s="21">
        <f t="shared" si="19"/>
        <v>23.275527359243497</v>
      </c>
      <c r="AO239" s="21"/>
      <c r="AP239" s="21"/>
      <c r="AQ239" s="15"/>
      <c r="AR239" s="21"/>
      <c r="AS239" s="21"/>
      <c r="AT239" s="21"/>
      <c r="AU239" s="21"/>
      <c r="AV239" s="21"/>
      <c r="AW239" s="21"/>
      <c r="AX239" s="15"/>
      <c r="AY239" s="21"/>
      <c r="AZ239" s="22"/>
      <c r="BA239" s="21"/>
      <c r="BB239" s="15"/>
      <c r="BC239" s="21"/>
      <c r="BI239" s="19"/>
      <c r="BK239" s="19"/>
      <c r="BM239" s="19"/>
      <c r="BN239" s="19"/>
      <c r="BO239" s="19"/>
      <c r="BP239" s="19"/>
      <c r="BQ239" s="19"/>
      <c r="BS239" s="19"/>
      <c r="BT239" s="19"/>
      <c r="BU239" s="19"/>
      <c r="BV239" s="19"/>
      <c r="CC239" s="19"/>
      <c r="CE239" s="19"/>
      <c r="CF239" s="19"/>
      <c r="CG239" s="19"/>
      <c r="CH239" s="19"/>
      <c r="CI239" s="19"/>
      <c r="CJ239" s="19"/>
      <c r="CK239" s="19"/>
      <c r="CL239" s="19"/>
      <c r="CM239" s="19"/>
      <c r="CN239" s="19"/>
      <c r="CO239" s="19"/>
      <c r="CQ239" s="19"/>
      <c r="CR239" s="19"/>
      <c r="CS239" s="19"/>
      <c r="CT239" s="19"/>
      <c r="CU239" s="19"/>
      <c r="CW239" s="21"/>
      <c r="CX239" s="21"/>
      <c r="CY239" s="21"/>
      <c r="CZ239" s="21"/>
      <c r="DA239" s="21"/>
      <c r="DB239" s="15"/>
      <c r="DC239" s="15"/>
      <c r="DD239" s="21"/>
      <c r="DE239" s="15"/>
      <c r="DF239" s="15"/>
      <c r="DG239" s="15"/>
      <c r="DH239" s="15"/>
      <c r="DI239" s="10"/>
      <c r="DJ239" s="10"/>
      <c r="DK239" s="10"/>
      <c r="DL239" s="9"/>
      <c r="DM239" s="10"/>
      <c r="DN239" s="10"/>
      <c r="DO239" s="10"/>
      <c r="DP239" s="10"/>
      <c r="DQ239" s="10"/>
      <c r="DR239" s="10"/>
      <c r="DS239" s="10"/>
      <c r="DT239" s="10"/>
      <c r="DU239" s="10"/>
      <c r="DV239" s="10"/>
      <c r="DW239" s="10"/>
      <c r="DX239" s="10"/>
      <c r="DY239" s="10"/>
      <c r="DZ239" s="10"/>
      <c r="EA239" s="10"/>
      <c r="EB239" s="10"/>
      <c r="EC239" s="10"/>
      <c r="ED239" s="10"/>
      <c r="EE239" s="10"/>
      <c r="EF239" s="10"/>
      <c r="EG239" s="15"/>
      <c r="EH239" s="15"/>
      <c r="EI239" s="15"/>
      <c r="EJ239" s="15"/>
      <c r="EK239" s="15"/>
      <c r="EL239" s="15"/>
      <c r="EM239" s="15"/>
      <c r="EN239" s="15"/>
      <c r="EO239" s="15"/>
      <c r="EP239" s="15"/>
      <c r="EQ239" s="15"/>
      <c r="ER239" s="15"/>
      <c r="ES239" s="15"/>
      <c r="ET239" s="15"/>
      <c r="EU239" s="15"/>
      <c r="EV239" s="15"/>
      <c r="EW239" s="15"/>
      <c r="EX239" s="15"/>
      <c r="EY239" s="15"/>
      <c r="EZ239" s="15"/>
      <c r="FA239" s="15"/>
      <c r="FB239" s="15"/>
      <c r="FC239" s="15"/>
      <c r="FD239" s="15"/>
      <c r="FE239" s="15"/>
      <c r="FF239" s="15"/>
      <c r="FG239" s="15"/>
      <c r="FH239" s="15"/>
      <c r="FI239" s="15"/>
      <c r="FJ239" s="15"/>
      <c r="FK239" s="15"/>
      <c r="FL239" s="15"/>
      <c r="FM239" s="15"/>
      <c r="FN239" s="15"/>
      <c r="FO239" s="15"/>
      <c r="FP239" s="15"/>
      <c r="FQ239" s="15"/>
      <c r="FR239" s="15"/>
      <c r="FS239" s="15"/>
      <c r="FT239" s="15"/>
    </row>
    <row r="240" spans="2:176" s="2" customFormat="1" ht="15" customHeight="1">
      <c r="B240" s="8"/>
      <c r="C240" s="8"/>
      <c r="D240" s="8"/>
      <c r="E240" s="8"/>
      <c r="F240" s="8"/>
      <c r="G240" s="8"/>
      <c r="N240" s="15"/>
      <c r="O240" s="24" t="s">
        <v>202</v>
      </c>
      <c r="P240" s="15">
        <v>0</v>
      </c>
      <c r="Q240" s="25"/>
      <c r="R240" s="15"/>
      <c r="S240" s="15"/>
      <c r="T240" s="15"/>
      <c r="U240" s="15"/>
      <c r="V240" s="15"/>
      <c r="W240" s="15"/>
      <c r="X240" s="15"/>
      <c r="Y240" s="15">
        <f t="shared" si="43"/>
        <v>2.2023081471762112</v>
      </c>
      <c r="Z240" s="15">
        <f t="shared" si="44"/>
        <v>2.2023081471762112</v>
      </c>
      <c r="AA240" s="15">
        <f t="shared" si="45"/>
        <v>-37.117598855517151</v>
      </c>
      <c r="AB240" s="15">
        <f t="shared" si="46"/>
        <v>0</v>
      </c>
      <c r="AC240" s="15">
        <f t="shared" si="14"/>
        <v>19.73767554726011</v>
      </c>
      <c r="AD240" s="15">
        <f t="shared" si="47"/>
        <v>-19.73767554726011</v>
      </c>
      <c r="AE240" s="15">
        <f t="shared" si="48"/>
        <v>-19.693342242403528</v>
      </c>
      <c r="AF240" s="15">
        <f t="shared" si="49"/>
        <v>-39.431017789663642</v>
      </c>
      <c r="AG240" s="15">
        <f t="shared" si="50"/>
        <v>1.8236263772664816</v>
      </c>
      <c r="AH240" s="15">
        <f t="shared" si="51"/>
        <v>181.82362637726649</v>
      </c>
      <c r="AI240" s="15">
        <f t="shared" si="15"/>
        <v>-74.317598855517161</v>
      </c>
      <c r="AJ240" s="21">
        <f t="shared" si="16"/>
        <v>15.654483856306513</v>
      </c>
      <c r="AK240" s="21">
        <f t="shared" si="17"/>
        <v>15.654483856306513</v>
      </c>
      <c r="AL240" s="8" t="s">
        <v>202</v>
      </c>
      <c r="AM240" s="21">
        <f t="shared" si="18"/>
        <v>181.82362637726649</v>
      </c>
      <c r="AN240" s="21">
        <f t="shared" si="19"/>
        <v>15.654483856306513</v>
      </c>
      <c r="AO240" s="21"/>
      <c r="AP240" s="21"/>
      <c r="AQ240" s="15"/>
      <c r="AR240" s="21"/>
      <c r="AS240" s="21"/>
      <c r="AT240" s="21"/>
      <c r="AU240" s="21"/>
      <c r="AV240" s="21"/>
      <c r="AW240" s="21"/>
      <c r="AX240" s="15"/>
      <c r="AY240" s="21"/>
      <c r="AZ240" s="22"/>
      <c r="BA240" s="21"/>
      <c r="BB240" s="15"/>
      <c r="BC240" s="21"/>
      <c r="BI240" s="19"/>
      <c r="BK240" s="19"/>
      <c r="BM240" s="19"/>
      <c r="BN240" s="19"/>
      <c r="BO240" s="19"/>
      <c r="BP240" s="19"/>
      <c r="BQ240" s="19"/>
      <c r="BS240" s="19"/>
      <c r="BT240" s="19"/>
      <c r="BU240" s="19"/>
      <c r="BV240" s="19"/>
      <c r="CC240" s="19"/>
      <c r="CE240" s="19"/>
      <c r="CF240" s="19"/>
      <c r="CG240" s="19"/>
      <c r="CH240" s="19"/>
      <c r="CI240" s="19"/>
      <c r="CJ240" s="19"/>
      <c r="CK240" s="19"/>
      <c r="CL240" s="19"/>
      <c r="CM240" s="19"/>
      <c r="CN240" s="19"/>
      <c r="CO240" s="19"/>
      <c r="CQ240" s="19"/>
      <c r="CR240" s="19"/>
      <c r="CS240" s="19"/>
      <c r="CT240" s="19"/>
      <c r="CU240" s="19"/>
      <c r="CW240" s="21"/>
      <c r="CX240" s="21"/>
      <c r="CY240" s="21"/>
      <c r="CZ240" s="21"/>
      <c r="DA240" s="21"/>
      <c r="DB240" s="15"/>
      <c r="DC240" s="15"/>
      <c r="DD240" s="21"/>
      <c r="DE240" s="15"/>
      <c r="DF240" s="15"/>
      <c r="DG240" s="15"/>
      <c r="DH240" s="15"/>
      <c r="DI240" s="10"/>
      <c r="DJ240" s="10"/>
      <c r="DK240" s="10"/>
      <c r="DL240" s="9"/>
      <c r="DM240" s="10"/>
      <c r="DN240" s="10"/>
      <c r="DO240" s="10"/>
      <c r="DP240" s="10"/>
      <c r="DQ240" s="10"/>
      <c r="DR240" s="10"/>
      <c r="DS240" s="10"/>
      <c r="DT240" s="10"/>
      <c r="DU240" s="10"/>
      <c r="DV240" s="10"/>
      <c r="DW240" s="10"/>
      <c r="DX240" s="10"/>
      <c r="DY240" s="10"/>
      <c r="DZ240" s="10"/>
      <c r="EA240" s="10"/>
      <c r="EB240" s="10"/>
      <c r="EC240" s="10"/>
      <c r="ED240" s="10"/>
      <c r="EE240" s="10"/>
      <c r="EF240" s="10"/>
      <c r="EG240" s="15"/>
      <c r="EH240" s="15"/>
      <c r="EI240" s="15"/>
      <c r="EJ240" s="15"/>
      <c r="EK240" s="15"/>
      <c r="EL240" s="15"/>
      <c r="EM240" s="15"/>
      <c r="EN240" s="15"/>
      <c r="EO240" s="15"/>
      <c r="EP240" s="15"/>
      <c r="EQ240" s="15"/>
      <c r="ER240" s="15"/>
      <c r="ES240" s="15"/>
      <c r="ET240" s="15"/>
      <c r="EU240" s="15"/>
      <c r="EV240" s="15"/>
      <c r="EW240" s="15"/>
      <c r="EX240" s="15"/>
      <c r="EY240" s="15"/>
      <c r="EZ240" s="15"/>
      <c r="FA240" s="15"/>
      <c r="FB240" s="15"/>
      <c r="FC240" s="15"/>
      <c r="FD240" s="15"/>
      <c r="FE240" s="15"/>
      <c r="FF240" s="15"/>
      <c r="FG240" s="15"/>
      <c r="FH240" s="15"/>
      <c r="FI240" s="15"/>
      <c r="FJ240" s="15"/>
      <c r="FK240" s="15"/>
      <c r="FL240" s="15"/>
      <c r="FM240" s="15"/>
      <c r="FN240" s="15"/>
      <c r="FO240" s="15"/>
      <c r="FP240" s="15"/>
      <c r="FQ240" s="15"/>
      <c r="FR240" s="15"/>
      <c r="FS240" s="15"/>
      <c r="FT240" s="15"/>
    </row>
    <row r="241" spans="2:178" s="2" customFormat="1" ht="15" customHeight="1">
      <c r="B241" s="8"/>
      <c r="C241" s="8"/>
      <c r="D241" s="8"/>
      <c r="E241" s="8"/>
      <c r="F241" s="8"/>
      <c r="G241" s="8"/>
      <c r="N241" s="15"/>
      <c r="O241" s="24" t="s">
        <v>203</v>
      </c>
      <c r="P241" s="15">
        <v>0</v>
      </c>
      <c r="Q241" s="25"/>
      <c r="R241" s="15"/>
      <c r="S241" s="15"/>
      <c r="T241" s="15"/>
      <c r="U241" s="15"/>
      <c r="V241" s="15"/>
      <c r="W241" s="15"/>
      <c r="X241" s="15"/>
      <c r="Y241" s="15">
        <f t="shared" si="43"/>
        <v>164.27603741744997</v>
      </c>
      <c r="Z241" s="15">
        <f t="shared" si="44"/>
        <v>164.27603741744997</v>
      </c>
      <c r="AA241" s="15">
        <f t="shared" si="45"/>
        <v>-16.742578375758324</v>
      </c>
      <c r="AB241" s="15">
        <f t="shared" si="46"/>
        <v>1</v>
      </c>
      <c r="AC241" s="15">
        <f t="shared" si="14"/>
        <v>2.696046611195464</v>
      </c>
      <c r="AD241" s="15">
        <f t="shared" si="47"/>
        <v>2.696046611195464</v>
      </c>
      <c r="AE241" s="15">
        <f t="shared" si="48"/>
        <v>-1.1100413275290055</v>
      </c>
      <c r="AF241" s="15">
        <f t="shared" si="49"/>
        <v>1.5860052836664584</v>
      </c>
      <c r="AG241" s="15">
        <f t="shared" si="50"/>
        <v>38.364334167827082</v>
      </c>
      <c r="AH241" s="15">
        <f t="shared" si="51"/>
        <v>321.63566583217289</v>
      </c>
      <c r="AI241" s="15">
        <f t="shared" si="15"/>
        <v>-53.94257837575833</v>
      </c>
      <c r="AJ241" s="21">
        <f t="shared" si="16"/>
        <v>-65.283582096237524</v>
      </c>
      <c r="AK241" s="21">
        <f t="shared" si="17"/>
        <v>-65.283582096237524</v>
      </c>
      <c r="AL241" s="8" t="s">
        <v>203</v>
      </c>
      <c r="AM241" s="21">
        <f t="shared" si="18"/>
        <v>321.63566583217289</v>
      </c>
      <c r="AN241" s="21">
        <f t="shared" si="19"/>
        <v>-65.283582096237524</v>
      </c>
      <c r="AO241" s="21"/>
      <c r="AP241" s="21"/>
      <c r="AQ241" s="15"/>
      <c r="AR241" s="21"/>
      <c r="AS241" s="21"/>
      <c r="AT241" s="21"/>
      <c r="AU241" s="21"/>
      <c r="AV241" s="21"/>
      <c r="AW241" s="21"/>
      <c r="AX241" s="15"/>
      <c r="AY241" s="21"/>
      <c r="AZ241" s="22"/>
      <c r="BA241" s="21"/>
      <c r="BB241" s="15"/>
      <c r="BC241" s="21"/>
      <c r="BI241" s="19"/>
      <c r="BK241" s="19"/>
      <c r="BM241" s="19"/>
      <c r="BN241" s="19"/>
      <c r="BO241" s="19"/>
      <c r="BP241" s="19"/>
      <c r="BQ241" s="19"/>
      <c r="BS241" s="19"/>
      <c r="BT241" s="19"/>
      <c r="BU241" s="19"/>
      <c r="BV241" s="19"/>
      <c r="CC241" s="19"/>
      <c r="CE241" s="19"/>
      <c r="CF241" s="19"/>
      <c r="CG241" s="19"/>
      <c r="CH241" s="19"/>
      <c r="CI241" s="19"/>
      <c r="CJ241" s="19"/>
      <c r="CK241" s="19"/>
      <c r="CL241" s="19"/>
      <c r="CM241" s="19"/>
      <c r="CN241" s="19"/>
      <c r="CO241" s="19"/>
      <c r="CQ241" s="19"/>
      <c r="CR241" s="19"/>
      <c r="CS241" s="19"/>
      <c r="CT241" s="19"/>
      <c r="CU241" s="19"/>
      <c r="CW241" s="21"/>
      <c r="CX241" s="21"/>
      <c r="CY241" s="21"/>
      <c r="CZ241" s="21"/>
      <c r="DA241" s="21"/>
      <c r="DB241" s="15"/>
      <c r="DC241" s="15"/>
      <c r="DD241" s="21"/>
      <c r="DE241" s="15"/>
      <c r="DF241" s="15"/>
      <c r="DG241" s="15"/>
      <c r="DH241" s="15"/>
      <c r="DI241" s="10"/>
      <c r="DJ241" s="10"/>
      <c r="DK241" s="10"/>
      <c r="DL241" s="10"/>
      <c r="DM241" s="10"/>
      <c r="DN241" s="10"/>
      <c r="DO241" s="10"/>
      <c r="DP241" s="10"/>
      <c r="DQ241" s="10"/>
      <c r="DR241" s="10"/>
      <c r="DS241" s="10"/>
      <c r="DT241" s="10"/>
      <c r="DU241" s="10"/>
      <c r="DV241" s="10"/>
      <c r="DW241" s="10"/>
      <c r="DX241" s="10"/>
      <c r="DY241" s="10"/>
      <c r="DZ241" s="10"/>
      <c r="EA241" s="10"/>
      <c r="EB241" s="10"/>
      <c r="EC241" s="10"/>
      <c r="ED241" s="10"/>
      <c r="EE241" s="10"/>
      <c r="EF241" s="10"/>
      <c r="EG241" s="15"/>
      <c r="EH241" s="15"/>
      <c r="EI241" s="15"/>
      <c r="EJ241" s="15"/>
      <c r="EK241" s="15"/>
      <c r="EL241" s="15"/>
      <c r="EM241" s="15"/>
      <c r="EN241" s="15"/>
      <c r="EO241" s="15"/>
      <c r="EP241" s="15"/>
      <c r="EQ241" s="15"/>
      <c r="ER241" s="15"/>
      <c r="ES241" s="15"/>
      <c r="ET241" s="15"/>
      <c r="EU241" s="15"/>
      <c r="EV241" s="15"/>
      <c r="EW241" s="15"/>
      <c r="EX241" s="15"/>
      <c r="EY241" s="15"/>
      <c r="EZ241" s="15"/>
      <c r="FA241" s="15"/>
      <c r="FB241" s="15"/>
      <c r="FC241" s="15"/>
      <c r="FD241" s="15"/>
      <c r="FE241" s="15"/>
      <c r="FF241" s="15"/>
      <c r="FG241" s="15"/>
      <c r="FH241" s="15"/>
      <c r="FI241" s="15"/>
      <c r="FJ241" s="15"/>
      <c r="FK241" s="15"/>
      <c r="FL241" s="15"/>
      <c r="FM241" s="15"/>
      <c r="FN241" s="15"/>
      <c r="FO241" s="15"/>
      <c r="FP241" s="15"/>
      <c r="FQ241" s="15"/>
      <c r="FR241" s="15"/>
      <c r="FS241" s="15"/>
      <c r="FT241" s="15"/>
    </row>
    <row r="242" spans="2:178" s="2" customFormat="1" ht="15" customHeight="1">
      <c r="D242" s="8"/>
      <c r="E242" s="8"/>
      <c r="F242" s="8"/>
      <c r="G242" s="8"/>
      <c r="H242" s="8"/>
      <c r="I242" s="8"/>
      <c r="N242" s="15"/>
      <c r="O242" s="24" t="s">
        <v>204</v>
      </c>
      <c r="P242" s="15">
        <v>0</v>
      </c>
      <c r="Q242" s="15"/>
      <c r="R242" s="15"/>
      <c r="S242" s="25"/>
      <c r="T242" s="15"/>
      <c r="U242" s="15"/>
      <c r="V242" s="15"/>
      <c r="W242" s="15"/>
      <c r="X242" s="15"/>
      <c r="Y242" s="15">
        <f t="shared" si="43"/>
        <v>64.273426195263141</v>
      </c>
      <c r="Z242" s="15">
        <f t="shared" si="44"/>
        <v>64.273426195263141</v>
      </c>
      <c r="AA242" s="15">
        <f t="shared" si="45"/>
        <v>-11.289952743418851</v>
      </c>
      <c r="AB242" s="15">
        <f t="shared" si="46"/>
        <v>0</v>
      </c>
      <c r="AC242" s="15">
        <f t="shared" si="14"/>
        <v>0.36573559475832007</v>
      </c>
      <c r="AD242" s="15">
        <f t="shared" si="47"/>
        <v>-0.36573559475832007</v>
      </c>
      <c r="AE242" s="15">
        <f t="shared" si="48"/>
        <v>-0.22160365083143785</v>
      </c>
      <c r="AF242" s="15">
        <f t="shared" si="49"/>
        <v>-0.58733924558975792</v>
      </c>
      <c r="AG242" s="15">
        <f t="shared" si="50"/>
        <v>64.928242492135809</v>
      </c>
      <c r="AH242" s="15">
        <f t="shared" si="51"/>
        <v>244.92824249213581</v>
      </c>
      <c r="AI242" s="15">
        <f t="shared" si="15"/>
        <v>-48.489952743418854</v>
      </c>
      <c r="AJ242" s="21">
        <f t="shared" si="16"/>
        <v>12.750131695318478</v>
      </c>
      <c r="AK242" s="21">
        <f t="shared" si="17"/>
        <v>12.750131695318478</v>
      </c>
      <c r="AL242" s="8" t="s">
        <v>204</v>
      </c>
      <c r="AM242" s="21">
        <f t="shared" si="18"/>
        <v>244.92824249213581</v>
      </c>
      <c r="AN242" s="21">
        <f t="shared" si="19"/>
        <v>12.750131695318478</v>
      </c>
      <c r="AO242" s="15"/>
      <c r="AP242" s="15"/>
      <c r="AQ242" s="21"/>
      <c r="AR242" s="21"/>
      <c r="AS242" s="15"/>
      <c r="AT242" s="21"/>
      <c r="AU242" s="21"/>
      <c r="AV242" s="21"/>
      <c r="AW242" s="21"/>
      <c r="AX242" s="21"/>
      <c r="AY242" s="21"/>
      <c r="AZ242" s="15"/>
      <c r="BA242" s="21"/>
      <c r="BB242" s="22"/>
      <c r="BC242" s="21"/>
      <c r="BE242" s="19"/>
      <c r="BK242" s="19"/>
      <c r="BM242" s="19"/>
      <c r="BO242" s="19"/>
      <c r="BP242" s="19"/>
      <c r="BQ242" s="19"/>
      <c r="BR242" s="19"/>
      <c r="BS242" s="19"/>
      <c r="BU242" s="19"/>
      <c r="BV242" s="19"/>
      <c r="BW242" s="19"/>
      <c r="BX242" s="19"/>
      <c r="CE242" s="19"/>
      <c r="CG242" s="19"/>
      <c r="CH242" s="19"/>
      <c r="CI242" s="19"/>
      <c r="CJ242" s="19"/>
      <c r="CK242" s="19"/>
      <c r="CL242" s="19"/>
      <c r="CM242" s="19"/>
      <c r="CN242" s="19"/>
      <c r="CO242" s="19"/>
      <c r="CP242" s="19"/>
      <c r="CQ242" s="19"/>
      <c r="CS242" s="19"/>
      <c r="CT242" s="19"/>
      <c r="CU242" s="19"/>
      <c r="CV242" s="19"/>
      <c r="CW242" s="21"/>
      <c r="CX242" s="15"/>
      <c r="CY242" s="21"/>
      <c r="CZ242" s="21"/>
      <c r="DA242" s="21"/>
      <c r="DB242" s="21"/>
      <c r="DC242" s="21"/>
      <c r="DD242" s="15"/>
      <c r="DE242" s="15"/>
      <c r="DF242" s="21"/>
      <c r="DG242" s="15"/>
      <c r="DH242" s="15"/>
      <c r="DI242" s="15"/>
      <c r="DJ242" s="15"/>
      <c r="DK242" s="10"/>
      <c r="DL242" s="10"/>
      <c r="DM242" s="10"/>
      <c r="DN242" s="10"/>
      <c r="DO242" s="10"/>
      <c r="DP242" s="10"/>
      <c r="DQ242" s="10"/>
      <c r="DR242" s="10"/>
      <c r="DS242" s="10"/>
      <c r="DT242" s="10"/>
      <c r="DU242" s="10"/>
      <c r="DV242" s="10"/>
      <c r="DW242" s="10"/>
      <c r="DX242" s="10"/>
      <c r="DY242" s="10"/>
      <c r="DZ242" s="10"/>
      <c r="EA242" s="10"/>
      <c r="EB242" s="10"/>
      <c r="EC242" s="10"/>
      <c r="ED242" s="10"/>
      <c r="EE242" s="10"/>
      <c r="EF242" s="10"/>
      <c r="EG242" s="10"/>
      <c r="EH242" s="10"/>
      <c r="EI242" s="15"/>
      <c r="EJ242" s="15"/>
      <c r="EK242" s="15"/>
      <c r="EL242" s="15"/>
      <c r="EM242" s="15"/>
      <c r="EN242" s="15"/>
      <c r="EO242" s="15"/>
      <c r="EP242" s="15"/>
      <c r="EQ242" s="15"/>
      <c r="ER242" s="15"/>
      <c r="ES242" s="15"/>
      <c r="ET242" s="15"/>
      <c r="EU242" s="15"/>
      <c r="EV242" s="15"/>
      <c r="EW242" s="15"/>
      <c r="EX242" s="15"/>
      <c r="EY242" s="15"/>
      <c r="EZ242" s="15"/>
      <c r="FA242" s="15"/>
      <c r="FB242" s="15"/>
      <c r="FC242" s="15"/>
      <c r="FD242" s="15"/>
      <c r="FE242" s="15"/>
      <c r="FF242" s="15"/>
      <c r="FG242" s="15"/>
      <c r="FH242" s="15"/>
      <c r="FI242" s="15"/>
      <c r="FJ242" s="15"/>
      <c r="FK242" s="15"/>
      <c r="FL242" s="15"/>
      <c r="FM242" s="15"/>
      <c r="FN242" s="15"/>
      <c r="FO242" s="15"/>
      <c r="FP242" s="15"/>
      <c r="FQ242" s="15"/>
      <c r="FR242" s="15"/>
      <c r="FS242" s="15"/>
      <c r="FT242" s="15"/>
      <c r="FU242" s="15"/>
      <c r="FV242" s="15"/>
    </row>
    <row r="243" spans="2:178" s="2" customFormat="1" ht="15" customHeight="1">
      <c r="D243" s="8"/>
      <c r="E243" s="8"/>
      <c r="F243" s="8"/>
      <c r="G243" s="8"/>
      <c r="H243" s="8"/>
      <c r="I243" s="8"/>
      <c r="N243" s="15"/>
      <c r="O243" s="24" t="s">
        <v>215</v>
      </c>
      <c r="P243" s="15">
        <v>0</v>
      </c>
      <c r="Q243" s="15"/>
      <c r="R243" s="15"/>
      <c r="S243" s="25"/>
      <c r="T243" s="15"/>
      <c r="U243" s="15"/>
      <c r="V243" s="15"/>
      <c r="W243" s="15"/>
      <c r="X243" s="15"/>
      <c r="Y243" s="15">
        <f t="shared" si="43"/>
        <v>128.57964504880141</v>
      </c>
      <c r="Z243" s="15">
        <f t="shared" si="44"/>
        <v>128.57964504880141</v>
      </c>
      <c r="AA243" s="15">
        <f t="shared" si="45"/>
        <v>-43.533349835876301</v>
      </c>
      <c r="AB243" s="15">
        <f t="shared" si="46"/>
        <v>1</v>
      </c>
      <c r="AC243" s="15">
        <f t="shared" si="14"/>
        <v>0.60549334325506354</v>
      </c>
      <c r="AD243" s="15">
        <f t="shared" si="47"/>
        <v>0.60549334325506354</v>
      </c>
      <c r="AE243" s="15">
        <f t="shared" si="48"/>
        <v>-1.2153259446219253</v>
      </c>
      <c r="AF243" s="15">
        <f t="shared" si="49"/>
        <v>-0.60983260136686179</v>
      </c>
      <c r="AG243" s="15">
        <f t="shared" si="50"/>
        <v>64.091840430393148</v>
      </c>
      <c r="AH243" s="15">
        <f t="shared" si="51"/>
        <v>244.09184043039315</v>
      </c>
      <c r="AI243" s="15">
        <f t="shared" si="15"/>
        <v>-80.733349835876311</v>
      </c>
      <c r="AJ243" s="21">
        <f t="shared" si="16"/>
        <v>-50.944944688204863</v>
      </c>
      <c r="AK243" s="21">
        <f t="shared" si="17"/>
        <v>-50.944944688204863</v>
      </c>
      <c r="AL243" s="8" t="s">
        <v>215</v>
      </c>
      <c r="AM243" s="21">
        <f t="shared" si="18"/>
        <v>244.09184043039315</v>
      </c>
      <c r="AN243" s="21">
        <f t="shared" si="19"/>
        <v>-50.944944688204863</v>
      </c>
      <c r="AO243" s="15"/>
      <c r="AP243" s="15"/>
      <c r="AQ243" s="21"/>
      <c r="AR243" s="21"/>
      <c r="AS243" s="15"/>
      <c r="AT243" s="21"/>
      <c r="AU243" s="21"/>
      <c r="AV243" s="21"/>
      <c r="AW243" s="21"/>
      <c r="AX243" s="21"/>
      <c r="AY243" s="21"/>
      <c r="AZ243" s="15"/>
      <c r="BA243" s="21"/>
      <c r="BB243" s="22"/>
      <c r="BC243" s="21"/>
      <c r="BE243" s="19"/>
      <c r="BK243" s="19"/>
      <c r="BM243" s="19"/>
      <c r="BO243" s="19"/>
      <c r="BP243" s="19"/>
      <c r="BQ243" s="19"/>
      <c r="BR243" s="19"/>
      <c r="BS243" s="19"/>
      <c r="BU243" s="19"/>
      <c r="BV243" s="19"/>
      <c r="BW243" s="19"/>
      <c r="BX243" s="19"/>
      <c r="CE243" s="19"/>
      <c r="CG243" s="19"/>
      <c r="CH243" s="19"/>
      <c r="CI243" s="19"/>
      <c r="CJ243" s="19"/>
      <c r="CK243" s="19"/>
      <c r="CL243" s="19"/>
      <c r="CM243" s="19"/>
      <c r="CN243" s="19"/>
      <c r="CO243" s="19"/>
      <c r="CP243" s="19"/>
      <c r="CQ243" s="19"/>
      <c r="CS243" s="19"/>
      <c r="CT243" s="19"/>
      <c r="CU243" s="19"/>
      <c r="CV243" s="19"/>
      <c r="CW243" s="21"/>
      <c r="CX243" s="15"/>
      <c r="CY243" s="21"/>
      <c r="CZ243" s="21"/>
      <c r="DA243" s="21"/>
      <c r="DB243" s="21"/>
      <c r="DC243" s="21"/>
      <c r="DD243" s="15"/>
      <c r="DE243" s="15"/>
      <c r="DF243" s="21"/>
      <c r="DG243" s="15"/>
      <c r="DH243" s="15"/>
      <c r="DI243" s="15"/>
      <c r="DJ243" s="15"/>
      <c r="DK243" s="10"/>
      <c r="DL243" s="10"/>
      <c r="DM243" s="10"/>
      <c r="DN243" s="10"/>
      <c r="DO243" s="10"/>
      <c r="DP243" s="10"/>
      <c r="DQ243" s="10"/>
      <c r="DR243" s="10"/>
      <c r="DS243" s="10"/>
      <c r="DT243" s="10"/>
      <c r="DU243" s="10"/>
      <c r="DV243" s="10"/>
      <c r="DW243" s="10"/>
      <c r="DX243" s="10"/>
      <c r="DY243" s="10"/>
      <c r="DZ243" s="10"/>
      <c r="EA243" s="10"/>
      <c r="EB243" s="10"/>
      <c r="EC243" s="10"/>
      <c r="ED243" s="10"/>
      <c r="EE243" s="10"/>
      <c r="EF243" s="10"/>
      <c r="EG243" s="10"/>
      <c r="EH243" s="10"/>
      <c r="EI243" s="15"/>
      <c r="EJ243" s="15"/>
      <c r="EK243" s="15"/>
      <c r="EL243" s="15"/>
      <c r="EM243" s="15"/>
      <c r="EN243" s="15"/>
      <c r="EO243" s="15"/>
      <c r="EP243" s="15"/>
      <c r="EQ243" s="15"/>
      <c r="ER243" s="15"/>
      <c r="ES243" s="15"/>
      <c r="ET243" s="15"/>
      <c r="EU243" s="15"/>
      <c r="EV243" s="15"/>
      <c r="EW243" s="15"/>
      <c r="EX243" s="15"/>
      <c r="EY243" s="15"/>
      <c r="EZ243" s="15"/>
      <c r="FA243" s="15"/>
      <c r="FB243" s="15"/>
      <c r="FC243" s="15"/>
      <c r="FD243" s="15"/>
      <c r="FE243" s="15"/>
      <c r="FF243" s="15"/>
      <c r="FG243" s="15"/>
      <c r="FH243" s="15"/>
      <c r="FI243" s="15"/>
      <c r="FJ243" s="15"/>
      <c r="FK243" s="15"/>
      <c r="FL243" s="15"/>
      <c r="FM243" s="15"/>
      <c r="FN243" s="15"/>
      <c r="FO243" s="15"/>
      <c r="FP243" s="15"/>
      <c r="FQ243" s="15"/>
      <c r="FR243" s="15"/>
      <c r="FS243" s="15"/>
      <c r="FT243" s="15"/>
      <c r="FU243" s="15"/>
      <c r="FV243" s="15"/>
    </row>
    <row r="244" spans="2:178" s="2" customFormat="1" ht="15" customHeight="1">
      <c r="D244" s="8"/>
      <c r="E244" s="8"/>
      <c r="F244" s="8"/>
      <c r="G244" s="8"/>
      <c r="H244" s="8"/>
      <c r="I244" s="8"/>
      <c r="N244" s="15"/>
      <c r="O244" s="24" t="s">
        <v>205</v>
      </c>
      <c r="P244" s="15">
        <v>0</v>
      </c>
      <c r="Q244" s="15"/>
      <c r="R244" s="15"/>
      <c r="S244" s="25"/>
      <c r="T244" s="15"/>
      <c r="U244" s="15"/>
      <c r="V244" s="15"/>
      <c r="W244" s="15"/>
      <c r="X244" s="15"/>
      <c r="Y244" s="15">
        <f t="shared" si="43"/>
        <v>346.30115832952504</v>
      </c>
      <c r="Z244" s="15">
        <f t="shared" si="44"/>
        <v>13.698841670474962</v>
      </c>
      <c r="AA244" s="15">
        <f t="shared" si="45"/>
        <v>38.806407160353181</v>
      </c>
      <c r="AB244" s="15">
        <f t="shared" si="46"/>
        <v>0</v>
      </c>
      <c r="AC244" s="15">
        <f t="shared" si="14"/>
        <v>3.1139861953910701</v>
      </c>
      <c r="AD244" s="15">
        <f t="shared" si="47"/>
        <v>-3.1139861953910701</v>
      </c>
      <c r="AE244" s="15">
        <f t="shared" si="48"/>
        <v>3.395869662431283</v>
      </c>
      <c r="AF244" s="15">
        <f t="shared" si="49"/>
        <v>0.28188346704021283</v>
      </c>
      <c r="AG244" s="15">
        <f t="shared" si="50"/>
        <v>77.345326064005619</v>
      </c>
      <c r="AH244" s="15">
        <f t="shared" si="51"/>
        <v>77.345326064005619</v>
      </c>
      <c r="AI244" s="15">
        <f t="shared" si="15"/>
        <v>1.6064071603531787</v>
      </c>
      <c r="AJ244" s="21">
        <f t="shared" si="16"/>
        <v>79.09742315128014</v>
      </c>
      <c r="AK244" s="21">
        <f t="shared" si="17"/>
        <v>79.09742315128014</v>
      </c>
      <c r="AL244" s="8" t="s">
        <v>205</v>
      </c>
      <c r="AM244" s="21">
        <f t="shared" si="18"/>
        <v>77.345326064005619</v>
      </c>
      <c r="AN244" s="21">
        <f t="shared" si="19"/>
        <v>79.09742315128014</v>
      </c>
      <c r="AO244" s="15"/>
      <c r="AP244" s="15"/>
      <c r="AQ244" s="21"/>
      <c r="AR244" s="21"/>
      <c r="AS244" s="15"/>
      <c r="AT244" s="21"/>
      <c r="AU244" s="21"/>
      <c r="AV244" s="21"/>
      <c r="AW244" s="21"/>
      <c r="AX244" s="21"/>
      <c r="AY244" s="21"/>
      <c r="AZ244" s="15"/>
      <c r="BA244" s="21"/>
      <c r="BB244" s="22"/>
      <c r="BC244" s="21"/>
      <c r="BE244" s="19"/>
      <c r="BK244" s="19"/>
      <c r="BM244" s="19"/>
      <c r="BO244" s="19"/>
      <c r="BP244" s="19"/>
      <c r="BQ244" s="19"/>
      <c r="BR244" s="19"/>
      <c r="BS244" s="19"/>
      <c r="BU244" s="19"/>
      <c r="BV244" s="19"/>
      <c r="BW244" s="19"/>
      <c r="BX244" s="19"/>
      <c r="CE244" s="19"/>
      <c r="CG244" s="19"/>
      <c r="CH244" s="19"/>
      <c r="CI244" s="19"/>
      <c r="CJ244" s="19"/>
      <c r="CK244" s="19"/>
      <c r="CL244" s="19"/>
      <c r="CM244" s="19"/>
      <c r="CN244" s="19"/>
      <c r="CO244" s="19"/>
      <c r="CP244" s="19"/>
      <c r="CQ244" s="19"/>
      <c r="CS244" s="19"/>
      <c r="CT244" s="19"/>
      <c r="CU244" s="19"/>
      <c r="CV244" s="19"/>
      <c r="CW244" s="21"/>
      <c r="CX244" s="15"/>
      <c r="CY244" s="21"/>
      <c r="CZ244" s="21"/>
      <c r="DA244" s="21"/>
      <c r="DB244" s="21"/>
      <c r="DC244" s="21"/>
      <c r="DD244" s="15"/>
      <c r="DE244" s="15"/>
      <c r="DF244" s="21"/>
      <c r="DG244" s="15"/>
      <c r="DH244" s="15"/>
      <c r="DI244" s="15"/>
      <c r="DJ244" s="15"/>
      <c r="DK244" s="10"/>
      <c r="DL244" s="10"/>
      <c r="DM244" s="10"/>
      <c r="DN244" s="10"/>
      <c r="DO244" s="10"/>
      <c r="DP244" s="10"/>
      <c r="DQ244" s="10"/>
      <c r="DR244" s="10"/>
      <c r="DS244" s="10"/>
      <c r="DT244" s="10"/>
      <c r="DU244" s="10"/>
      <c r="DV244" s="10"/>
      <c r="DW244" s="10"/>
      <c r="DX244" s="10"/>
      <c r="DY244" s="10"/>
      <c r="DZ244" s="10"/>
      <c r="EA244" s="10"/>
      <c r="EB244" s="10"/>
      <c r="EC244" s="10"/>
      <c r="ED244" s="10"/>
      <c r="EE244" s="10"/>
      <c r="EF244" s="10"/>
      <c r="EG244" s="10"/>
      <c r="EH244" s="10"/>
      <c r="EI244" s="15"/>
      <c r="EJ244" s="15"/>
      <c r="EK244" s="15"/>
      <c r="EL244" s="15"/>
      <c r="EM244" s="15"/>
      <c r="EN244" s="15"/>
      <c r="EO244" s="15"/>
      <c r="EP244" s="15"/>
      <c r="EQ244" s="15"/>
      <c r="ER244" s="15"/>
      <c r="ES244" s="15"/>
      <c r="ET244" s="15"/>
      <c r="EU244" s="15"/>
      <c r="EV244" s="15"/>
      <c r="EW244" s="15"/>
      <c r="EX244" s="15"/>
      <c r="EY244" s="15"/>
      <c r="EZ244" s="15"/>
      <c r="FA244" s="15"/>
      <c r="FB244" s="15"/>
      <c r="FC244" s="15"/>
      <c r="FD244" s="15"/>
      <c r="FE244" s="15"/>
      <c r="FF244" s="15"/>
      <c r="FG244" s="15"/>
      <c r="FH244" s="15"/>
      <c r="FI244" s="15"/>
      <c r="FJ244" s="15"/>
      <c r="FK244" s="15"/>
      <c r="FL244" s="15"/>
      <c r="FM244" s="15"/>
      <c r="FN244" s="15"/>
      <c r="FO244" s="15"/>
      <c r="FP244" s="15"/>
      <c r="FQ244" s="15"/>
      <c r="FR244" s="15"/>
      <c r="FS244" s="15"/>
      <c r="FT244" s="15"/>
      <c r="FU244" s="15"/>
      <c r="FV244" s="15"/>
    </row>
    <row r="245" spans="2:178" s="2" customFormat="1" ht="15" customHeight="1">
      <c r="D245" s="8"/>
      <c r="E245" s="8"/>
      <c r="F245" s="8"/>
      <c r="G245" s="8"/>
      <c r="H245" s="8"/>
      <c r="I245" s="8"/>
      <c r="N245" s="15"/>
      <c r="O245" s="24" t="s">
        <v>240</v>
      </c>
      <c r="P245" s="15">
        <v>1</v>
      </c>
      <c r="Q245" s="15">
        <f>FQ181</f>
        <v>70.613976097301247</v>
      </c>
      <c r="R245" s="15">
        <f>FQ182</f>
        <v>58.121750651062939</v>
      </c>
      <c r="S245" s="25">
        <f>FQ183</f>
        <v>73.112421634050293</v>
      </c>
      <c r="T245" s="15">
        <f>FP181</f>
        <v>15.623955246259422</v>
      </c>
      <c r="U245" s="15">
        <f>FP182</f>
        <v>15.635648882360941</v>
      </c>
      <c r="V245" s="15">
        <f>FP183</f>
        <v>15.621615442809384</v>
      </c>
      <c r="W245" s="15"/>
      <c r="X245" s="15"/>
      <c r="Y245" s="15">
        <f>MOD(Q245+$U$5,360)</f>
        <v>124.11397609730125</v>
      </c>
      <c r="Z245" s="15">
        <f>IF(Y245&gt;180,360-Y245,Y245)</f>
        <v>124.11397609730125</v>
      </c>
      <c r="AA245" s="15">
        <f>T245</f>
        <v>15.623955246259422</v>
      </c>
      <c r="AB245" s="15">
        <f>IF(Y245&gt;90,IF(Y245&lt;270,1,0),0)</f>
        <v>1</v>
      </c>
      <c r="AC245" s="15">
        <f t="shared" si="14"/>
        <v>0.51417967399255149</v>
      </c>
      <c r="AD245" s="15">
        <f>IF(AB245=0,IF($S$4="N",-AC245,AC245),IF($S$4="N",AC245,-AC245))</f>
        <v>0.51417967399255149</v>
      </c>
      <c r="AE245" s="15">
        <f>IF(AA245&gt;0,ABS(TAN(RADIANS(AA245))/SIN(RADIANS(Y245))),-ABS(TAN(RADIANS(AA245))/SIN(RADIANS(Y245))))</f>
        <v>0.33777968873563158</v>
      </c>
      <c r="AF245" s="15">
        <f>AD245+AE245</f>
        <v>0.85195936272818307</v>
      </c>
      <c r="AG245" s="15">
        <f>ABS(DEGREES(ATAN(1/(COS(RADIANS(ABS($U$4)))*AF245))))</f>
        <v>55.838748281770123</v>
      </c>
      <c r="AH245" s="15">
        <f>IF(AF245&lt;0,IF(Y245&lt;180,180+AG245,180-AG245),IF(Y245&lt;180,360-AG245,AG245))</f>
        <v>304.16125171822989</v>
      </c>
      <c r="AI245" s="15">
        <f t="shared" si="15"/>
        <v>-21.576044753740582</v>
      </c>
      <c r="AJ245" s="21">
        <f t="shared" si="16"/>
        <v>-15.508893032176401</v>
      </c>
      <c r="AK245" s="21">
        <f t="shared" si="17"/>
        <v>-15.508893032176401</v>
      </c>
      <c r="AL245" s="8" t="s">
        <v>240</v>
      </c>
      <c r="AM245" s="21">
        <f t="shared" si="18"/>
        <v>304.16125171822989</v>
      </c>
      <c r="AN245" s="21">
        <f t="shared" si="19"/>
        <v>-15.508893032176401</v>
      </c>
      <c r="AO245" s="15"/>
      <c r="AP245" s="15"/>
      <c r="AQ245" s="21"/>
      <c r="AR245" s="21"/>
      <c r="AS245" s="15"/>
      <c r="AT245" s="21"/>
      <c r="AU245" s="21"/>
      <c r="AV245" s="21"/>
      <c r="AW245" s="21"/>
      <c r="AX245" s="21"/>
      <c r="AY245" s="21"/>
      <c r="AZ245" s="15"/>
      <c r="BA245" s="21"/>
      <c r="BB245" s="22"/>
      <c r="BC245" s="21"/>
      <c r="BE245" s="19"/>
      <c r="BK245" s="19"/>
      <c r="BM245" s="19"/>
      <c r="BO245" s="19"/>
      <c r="BP245" s="19"/>
      <c r="BQ245" s="19"/>
      <c r="BR245" s="19"/>
      <c r="BS245" s="19"/>
      <c r="BU245" s="19"/>
      <c r="BV245" s="19"/>
      <c r="BW245" s="19"/>
      <c r="BX245" s="19"/>
      <c r="CE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S245" s="19"/>
      <c r="CT245" s="19"/>
      <c r="CU245" s="19"/>
      <c r="CV245" s="19"/>
      <c r="CW245" s="21"/>
      <c r="CX245" s="15"/>
      <c r="CY245" s="21"/>
      <c r="CZ245" s="21"/>
      <c r="DA245" s="21"/>
      <c r="DB245" s="21"/>
      <c r="DC245" s="21"/>
      <c r="DD245" s="15"/>
      <c r="DE245" s="15"/>
      <c r="DF245" s="21"/>
      <c r="DG245" s="15"/>
      <c r="DH245" s="15"/>
      <c r="DI245" s="15"/>
      <c r="DJ245" s="15"/>
      <c r="DK245" s="10"/>
      <c r="DL245" s="10"/>
      <c r="DM245" s="10"/>
      <c r="DN245" s="10"/>
      <c r="DO245" s="10"/>
      <c r="DP245" s="10"/>
      <c r="DQ245" s="10"/>
      <c r="DR245" s="10"/>
      <c r="DS245" s="10"/>
      <c r="DT245" s="10"/>
      <c r="DU245" s="10"/>
      <c r="DV245" s="10"/>
      <c r="DW245" s="10"/>
      <c r="DX245" s="10"/>
      <c r="DY245" s="10"/>
      <c r="DZ245" s="10"/>
      <c r="EA245" s="10"/>
      <c r="EB245" s="10"/>
      <c r="EC245" s="10"/>
      <c r="ED245" s="10"/>
      <c r="EE245" s="10"/>
      <c r="EF245" s="10"/>
      <c r="EG245" s="10"/>
      <c r="EH245" s="10"/>
      <c r="EI245" s="15"/>
      <c r="EJ245" s="15"/>
      <c r="EK245" s="15"/>
      <c r="EL245" s="15"/>
      <c r="EM245" s="15"/>
      <c r="EN245" s="15"/>
      <c r="EO245" s="15"/>
      <c r="EP245" s="15"/>
      <c r="EQ245" s="15"/>
      <c r="ER245" s="15"/>
      <c r="ES245" s="15"/>
      <c r="ET245" s="15"/>
      <c r="EU245" s="15"/>
      <c r="EV245" s="15"/>
      <c r="EW245" s="15"/>
      <c r="EX245" s="15"/>
      <c r="EY245" s="15"/>
      <c r="EZ245" s="15"/>
      <c r="FA245" s="15"/>
      <c r="FB245" s="15"/>
      <c r="FC245" s="15"/>
      <c r="FD245" s="15"/>
      <c r="FE245" s="15"/>
      <c r="FF245" s="15"/>
      <c r="FG245" s="15"/>
      <c r="FH245" s="15"/>
      <c r="FI245" s="15"/>
      <c r="FJ245" s="15"/>
      <c r="FK245" s="15"/>
      <c r="FL245" s="15"/>
      <c r="FM245" s="15"/>
      <c r="FN245" s="15"/>
      <c r="FO245" s="15"/>
      <c r="FP245" s="15"/>
      <c r="FQ245" s="15"/>
      <c r="FR245" s="15"/>
      <c r="FS245" s="15"/>
      <c r="FT245" s="15"/>
      <c r="FU245" s="15"/>
      <c r="FV245" s="15"/>
    </row>
    <row r="246" spans="2:178" s="2" customFormat="1" ht="15" customHeight="1">
      <c r="D246" s="8"/>
      <c r="E246" s="8"/>
      <c r="F246" s="8"/>
      <c r="G246" s="8"/>
      <c r="H246" s="8"/>
      <c r="I246" s="8"/>
      <c r="N246" s="15"/>
      <c r="O246" s="24" t="s">
        <v>206</v>
      </c>
      <c r="P246" s="15">
        <v>0</v>
      </c>
      <c r="Q246" s="15"/>
      <c r="R246" s="15"/>
      <c r="S246" s="25"/>
      <c r="T246" s="15"/>
      <c r="U246" s="15"/>
      <c r="V246" s="15"/>
      <c r="W246" s="15"/>
      <c r="X246" s="15"/>
      <c r="Y246" s="15">
        <f>MOD(V$181+$U$5+I237,360)</f>
        <v>42.861122188572551</v>
      </c>
      <c r="Z246" s="15">
        <f>IF(Y246&gt;180,360-Y246,Y246)</f>
        <v>42.861122188572551</v>
      </c>
      <c r="AA246" s="15">
        <f>J237</f>
        <v>-16.14204326837811</v>
      </c>
      <c r="AB246" s="15">
        <f>IF(Y246&gt;90,IF(Y246&lt;270,1,0),0)</f>
        <v>0</v>
      </c>
      <c r="AC246" s="15">
        <f t="shared" si="14"/>
        <v>0.81793803916308649</v>
      </c>
      <c r="AD246" s="15">
        <f>IF(AB246=0,IF($S$4="N",-AC246,AC246),IF($S$4="N",AC246,-AC246))</f>
        <v>-0.81793803916308649</v>
      </c>
      <c r="AE246" s="15">
        <f>IF(AA246&gt;0,ABS(TAN(RADIANS(AA246))/SIN(RADIANS(Y246))),-ABS(TAN(RADIANS(AA246))/SIN(RADIANS(Y246))))</f>
        <v>-0.425492797823184</v>
      </c>
      <c r="AF246" s="15">
        <f>AD246+AE246</f>
        <v>-1.2434308369862705</v>
      </c>
      <c r="AG246" s="15">
        <f>ABS(DEGREES(ATAN(1/(COS(RADIANS(ABS($U$4)))*AF246))))</f>
        <v>45.275480319262265</v>
      </c>
      <c r="AH246" s="15">
        <f>IF(AF246&lt;0,IF(Y246&lt;180,180+AG246,180-AG246),IF(Y246&lt;180,360-AG246,AG246))</f>
        <v>225.27548031926227</v>
      </c>
      <c r="AI246" s="15">
        <f t="shared" si="15"/>
        <v>-53.342043268378113</v>
      </c>
      <c r="AJ246" s="21">
        <f t="shared" si="16"/>
        <v>23.125800108672177</v>
      </c>
      <c r="AK246" s="21">
        <f t="shared" si="17"/>
        <v>23.125800108672177</v>
      </c>
      <c r="AL246" s="8" t="s">
        <v>206</v>
      </c>
      <c r="AM246" s="21">
        <f t="shared" si="18"/>
        <v>225.27548031926227</v>
      </c>
      <c r="AN246" s="21">
        <f t="shared" si="19"/>
        <v>23.125800108672177</v>
      </c>
      <c r="AO246" s="15"/>
      <c r="AP246" s="15"/>
      <c r="AQ246" s="21"/>
      <c r="AR246" s="21"/>
      <c r="AS246" s="15"/>
      <c r="AT246" s="21"/>
      <c r="AU246" s="21"/>
      <c r="AV246" s="21"/>
      <c r="AW246" s="21"/>
      <c r="AX246" s="21"/>
      <c r="AY246" s="21"/>
      <c r="AZ246" s="15"/>
      <c r="BA246" s="21"/>
      <c r="BB246" s="22"/>
      <c r="BC246" s="21"/>
      <c r="BE246" s="19"/>
      <c r="BK246" s="19"/>
      <c r="BM246" s="19"/>
      <c r="BO246" s="19"/>
      <c r="BP246" s="19"/>
      <c r="BQ246" s="19"/>
      <c r="BR246" s="19"/>
      <c r="BS246" s="19"/>
      <c r="BU246" s="19"/>
      <c r="BV246" s="19"/>
      <c r="BW246" s="19"/>
      <c r="BX246" s="19"/>
      <c r="CE246" s="19"/>
      <c r="CG246" s="19"/>
      <c r="CH246" s="19"/>
      <c r="CI246" s="19"/>
      <c r="CJ246" s="19"/>
      <c r="CK246" s="19"/>
      <c r="CL246" s="19"/>
      <c r="CM246" s="19"/>
      <c r="CN246" s="19"/>
      <c r="CO246" s="19"/>
      <c r="CP246" s="19"/>
      <c r="CQ246" s="19"/>
      <c r="CS246" s="19"/>
      <c r="CT246" s="19"/>
      <c r="CU246" s="19"/>
      <c r="CV246" s="19"/>
      <c r="CW246" s="21"/>
      <c r="CX246" s="15"/>
      <c r="CY246" s="21"/>
      <c r="CZ246" s="21"/>
      <c r="DA246" s="21"/>
      <c r="DB246" s="21"/>
      <c r="DC246" s="21"/>
      <c r="DD246" s="15"/>
      <c r="DE246" s="15"/>
      <c r="DF246" s="21"/>
      <c r="DG246" s="15"/>
      <c r="DH246" s="15"/>
      <c r="DI246" s="15"/>
      <c r="DJ246" s="15"/>
      <c r="DK246" s="10"/>
      <c r="DL246" s="10"/>
      <c r="DM246" s="10"/>
      <c r="DN246" s="10"/>
      <c r="DO246" s="10"/>
      <c r="DP246" s="10"/>
      <c r="DQ246" s="10"/>
      <c r="DR246" s="10"/>
      <c r="DS246" s="10"/>
      <c r="DT246" s="10"/>
      <c r="DU246" s="10"/>
      <c r="DV246" s="10"/>
      <c r="DW246" s="10"/>
      <c r="DX246" s="10"/>
      <c r="DY246" s="10"/>
      <c r="DZ246" s="10"/>
      <c r="EA246" s="10"/>
      <c r="EB246" s="10"/>
      <c r="EC246" s="10"/>
      <c r="ED246" s="10"/>
      <c r="EE246" s="10"/>
      <c r="EF246" s="10"/>
      <c r="EG246" s="10"/>
      <c r="EH246" s="10"/>
      <c r="EI246" s="15"/>
      <c r="EJ246" s="15"/>
      <c r="EK246" s="15"/>
      <c r="EL246" s="15"/>
      <c r="EM246" s="15"/>
      <c r="EN246" s="15"/>
      <c r="EO246" s="15"/>
      <c r="EP246" s="15"/>
      <c r="EQ246" s="15"/>
      <c r="ER246" s="15"/>
      <c r="ES246" s="15"/>
      <c r="ET246" s="15"/>
      <c r="EU246" s="15"/>
      <c r="EV246" s="15"/>
      <c r="EW246" s="15"/>
      <c r="EX246" s="15"/>
      <c r="EY246" s="15"/>
      <c r="EZ246" s="15"/>
      <c r="FA246" s="15"/>
      <c r="FB246" s="15"/>
      <c r="FC246" s="15"/>
      <c r="FD246" s="15"/>
      <c r="FE246" s="15"/>
      <c r="FF246" s="15"/>
      <c r="FG246" s="15"/>
      <c r="FH246" s="15"/>
      <c r="FI246" s="15"/>
      <c r="FJ246" s="15"/>
      <c r="FK246" s="15"/>
      <c r="FL246" s="15"/>
      <c r="FM246" s="15"/>
      <c r="FN246" s="15"/>
      <c r="FO246" s="15"/>
      <c r="FP246" s="15"/>
      <c r="FQ246" s="15"/>
      <c r="FR246" s="15"/>
      <c r="FS246" s="15"/>
      <c r="FT246" s="15"/>
      <c r="FU246" s="15"/>
      <c r="FV246" s="15"/>
    </row>
    <row r="247" spans="2:178" s="2" customFormat="1" ht="15" customHeight="1">
      <c r="D247" s="8"/>
      <c r="E247" s="8"/>
      <c r="F247" s="8"/>
      <c r="G247" s="8"/>
      <c r="H247" s="8"/>
      <c r="I247" s="8"/>
      <c r="N247" s="15"/>
      <c r="O247" s="24" t="s">
        <v>253</v>
      </c>
      <c r="P247" s="15"/>
      <c r="Q247" s="15">
        <f>V181</f>
        <v>212.39108241344991</v>
      </c>
      <c r="R247" s="15">
        <f>V182</f>
        <v>199.85685953482025</v>
      </c>
      <c r="S247" s="25">
        <f>V183</f>
        <v>214.89792699056053</v>
      </c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21"/>
      <c r="AR247" s="21"/>
      <c r="AS247" s="15"/>
      <c r="AT247" s="21"/>
      <c r="AU247" s="21"/>
      <c r="AV247" s="21"/>
      <c r="AW247" s="21"/>
      <c r="AX247" s="21"/>
      <c r="AY247" s="21"/>
      <c r="AZ247" s="15"/>
      <c r="BA247" s="21"/>
      <c r="BB247" s="22"/>
      <c r="BC247" s="21"/>
      <c r="BE247" s="19"/>
      <c r="BK247" s="19"/>
      <c r="BM247" s="19"/>
      <c r="BO247" s="19"/>
      <c r="BP247" s="19"/>
      <c r="BQ247" s="19"/>
      <c r="BR247" s="19"/>
      <c r="BS247" s="19"/>
      <c r="BU247" s="19"/>
      <c r="BV247" s="19"/>
      <c r="BW247" s="19"/>
      <c r="BX247" s="19"/>
      <c r="CE247" s="19"/>
      <c r="CG247" s="19"/>
      <c r="CH247" s="19"/>
      <c r="CI247" s="19"/>
      <c r="CJ247" s="19"/>
      <c r="CK247" s="19"/>
      <c r="CL247" s="19"/>
      <c r="CM247" s="19"/>
      <c r="CN247" s="19"/>
      <c r="CO247" s="19"/>
      <c r="CP247" s="19"/>
      <c r="CQ247" s="19"/>
      <c r="CS247" s="19"/>
      <c r="CT247" s="19"/>
      <c r="CU247" s="19"/>
      <c r="CV247" s="19"/>
      <c r="CW247" s="21"/>
      <c r="CX247" s="15"/>
      <c r="CY247" s="21"/>
      <c r="CZ247" s="21"/>
      <c r="DA247" s="21"/>
      <c r="DB247" s="21"/>
      <c r="DC247" s="21"/>
      <c r="DD247" s="15"/>
      <c r="DE247" s="15"/>
      <c r="DF247" s="21"/>
      <c r="DG247" s="15"/>
      <c r="DH247" s="15"/>
      <c r="DI247" s="15"/>
      <c r="DJ247" s="15"/>
      <c r="DK247" s="10"/>
      <c r="DL247" s="10"/>
      <c r="DM247" s="10"/>
      <c r="DN247" s="10"/>
      <c r="DO247" s="10"/>
      <c r="DP247" s="10"/>
      <c r="DQ247" s="10"/>
      <c r="DR247" s="10"/>
      <c r="DS247" s="10"/>
      <c r="DT247" s="10"/>
      <c r="DU247" s="10"/>
      <c r="DV247" s="10"/>
      <c r="DW247" s="10"/>
      <c r="DX247" s="10"/>
      <c r="DY247" s="10"/>
      <c r="DZ247" s="10"/>
      <c r="EA247" s="10"/>
      <c r="EB247" s="10"/>
      <c r="EC247" s="10"/>
      <c r="ED247" s="10"/>
      <c r="EE247" s="10"/>
      <c r="EF247" s="10"/>
      <c r="EG247" s="10"/>
      <c r="EH247" s="10"/>
      <c r="EI247" s="15"/>
      <c r="EJ247" s="15"/>
      <c r="EK247" s="15"/>
      <c r="EL247" s="15"/>
      <c r="EM247" s="15"/>
      <c r="EN247" s="15"/>
      <c r="EO247" s="15"/>
      <c r="EP247" s="15"/>
      <c r="EQ247" s="15"/>
      <c r="ER247" s="15"/>
      <c r="ES247" s="15"/>
      <c r="ET247" s="15"/>
      <c r="EU247" s="15"/>
      <c r="EV247" s="15"/>
      <c r="EW247" s="15"/>
      <c r="EX247" s="15"/>
      <c r="EY247" s="15"/>
      <c r="EZ247" s="15"/>
      <c r="FA247" s="15"/>
      <c r="FB247" s="15"/>
      <c r="FC247" s="15"/>
      <c r="FD247" s="15"/>
      <c r="FE247" s="15"/>
      <c r="FF247" s="15"/>
      <c r="FG247" s="15"/>
      <c r="FH247" s="15"/>
      <c r="FI247" s="15"/>
      <c r="FJ247" s="15"/>
      <c r="FK247" s="15"/>
      <c r="FL247" s="15"/>
      <c r="FM247" s="15"/>
      <c r="FN247" s="15"/>
      <c r="FO247" s="15"/>
      <c r="FP247" s="15"/>
      <c r="FQ247" s="15"/>
      <c r="FR247" s="15"/>
      <c r="FS247" s="15"/>
      <c r="FT247" s="15"/>
      <c r="FU247" s="15"/>
      <c r="FV247" s="15"/>
    </row>
    <row r="248" spans="2:178" s="2" customFormat="1" ht="15" customHeight="1">
      <c r="D248" s="8"/>
      <c r="E248" s="8"/>
      <c r="F248" s="8"/>
      <c r="G248" s="8"/>
      <c r="H248" s="8"/>
      <c r="I248" s="8"/>
      <c r="N248" s="15"/>
      <c r="O248" s="15"/>
      <c r="P248" s="15"/>
      <c r="Q248" s="15"/>
      <c r="R248" s="15"/>
      <c r="S248" s="2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21"/>
      <c r="AR248" s="21"/>
      <c r="AS248" s="15"/>
      <c r="AT248" s="21"/>
      <c r="AU248" s="21"/>
      <c r="AV248" s="21"/>
      <c r="AW248" s="21"/>
      <c r="AX248" s="21"/>
      <c r="AY248" s="21"/>
      <c r="AZ248" s="15"/>
      <c r="BA248" s="21"/>
      <c r="BB248" s="22"/>
      <c r="BC248" s="21"/>
      <c r="BE248" s="19"/>
      <c r="BK248" s="19"/>
      <c r="BM248" s="19"/>
      <c r="BO248" s="19"/>
      <c r="BP248" s="19"/>
      <c r="BQ248" s="19"/>
      <c r="BR248" s="19"/>
      <c r="BS248" s="19"/>
      <c r="BU248" s="19"/>
      <c r="BV248" s="19"/>
      <c r="BW248" s="19"/>
      <c r="BX248" s="19"/>
      <c r="CE248" s="19"/>
      <c r="CG248" s="19"/>
      <c r="CH248" s="19"/>
      <c r="CI248" s="19"/>
      <c r="CJ248" s="19"/>
      <c r="CK248" s="19"/>
      <c r="CL248" s="19"/>
      <c r="CM248" s="19"/>
      <c r="CN248" s="19"/>
      <c r="CO248" s="19"/>
      <c r="CP248" s="19"/>
      <c r="CQ248" s="19"/>
      <c r="CS248" s="19"/>
      <c r="CT248" s="19"/>
      <c r="CU248" s="19"/>
      <c r="CV248" s="19"/>
      <c r="CW248" s="21"/>
      <c r="CX248" s="15"/>
      <c r="CY248" s="21"/>
      <c r="CZ248" s="21"/>
      <c r="DA248" s="21"/>
      <c r="DB248" s="21"/>
      <c r="DC248" s="21"/>
      <c r="DD248" s="15"/>
      <c r="DE248" s="15"/>
      <c r="DF248" s="21"/>
      <c r="DG248" s="15"/>
      <c r="DH248" s="15"/>
      <c r="DI248" s="15"/>
      <c r="DJ248" s="15"/>
      <c r="DK248" s="10"/>
      <c r="DL248" s="10"/>
      <c r="DM248" s="10"/>
      <c r="DN248" s="10"/>
      <c r="DO248" s="10"/>
      <c r="DP248" s="10"/>
      <c r="DQ248" s="10"/>
      <c r="DR248" s="10"/>
      <c r="DS248" s="10"/>
      <c r="DT248" s="10"/>
      <c r="DU248" s="10"/>
      <c r="DV248" s="10"/>
      <c r="DW248" s="10"/>
      <c r="DX248" s="10"/>
      <c r="DY248" s="10"/>
      <c r="DZ248" s="10"/>
      <c r="EA248" s="10"/>
      <c r="EB248" s="10"/>
      <c r="EC248" s="10"/>
      <c r="ED248" s="10"/>
      <c r="EE248" s="10"/>
      <c r="EF248" s="10"/>
      <c r="EG248" s="10"/>
      <c r="EH248" s="10"/>
      <c r="EI248" s="15"/>
      <c r="EJ248" s="15"/>
      <c r="EK248" s="15"/>
      <c r="EL248" s="15"/>
      <c r="EM248" s="15"/>
      <c r="EN248" s="15"/>
      <c r="EO248" s="15"/>
      <c r="EP248" s="15"/>
      <c r="EQ248" s="15"/>
      <c r="ER248" s="15"/>
      <c r="ES248" s="15"/>
      <c r="ET248" s="15"/>
      <c r="EU248" s="15"/>
      <c r="EV248" s="15"/>
      <c r="EW248" s="15"/>
      <c r="EX248" s="15"/>
      <c r="EY248" s="15"/>
      <c r="EZ248" s="15"/>
      <c r="FA248" s="15"/>
      <c r="FB248" s="15"/>
      <c r="FC248" s="15"/>
      <c r="FD248" s="15"/>
      <c r="FE248" s="15"/>
      <c r="FF248" s="15"/>
      <c r="FG248" s="15"/>
      <c r="FH248" s="15"/>
      <c r="FI248" s="15"/>
      <c r="FJ248" s="15"/>
      <c r="FK248" s="15"/>
      <c r="FL248" s="15"/>
      <c r="FM248" s="15"/>
      <c r="FN248" s="15"/>
      <c r="FO248" s="15"/>
      <c r="FP248" s="15"/>
      <c r="FQ248" s="15"/>
      <c r="FR248" s="15"/>
      <c r="FS248" s="15"/>
      <c r="FT248" s="15"/>
      <c r="FU248" s="15"/>
      <c r="FV248" s="15"/>
    </row>
    <row r="249" spans="2:178" s="2" customFormat="1" ht="15" customHeight="1">
      <c r="D249" s="8"/>
      <c r="E249" s="8"/>
      <c r="F249" s="8"/>
      <c r="G249" s="8"/>
      <c r="H249" s="8"/>
      <c r="I249" s="8"/>
      <c r="N249" s="15"/>
      <c r="O249" s="15"/>
      <c r="P249" s="15"/>
      <c r="Q249" s="15"/>
      <c r="R249" s="15"/>
      <c r="S249" s="2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21"/>
      <c r="AR249" s="21"/>
      <c r="AS249" s="15"/>
      <c r="AT249" s="21"/>
      <c r="AU249" s="21"/>
      <c r="AV249" s="21"/>
      <c r="AW249" s="21"/>
      <c r="AX249" s="21"/>
      <c r="AY249" s="21"/>
      <c r="AZ249" s="15"/>
      <c r="BA249" s="21"/>
      <c r="BB249" s="22"/>
      <c r="BC249" s="21"/>
      <c r="BE249" s="19"/>
      <c r="BK249" s="19"/>
      <c r="BM249" s="19"/>
      <c r="BO249" s="19"/>
      <c r="BP249" s="19"/>
      <c r="BQ249" s="19"/>
      <c r="BR249" s="19"/>
      <c r="BS249" s="19"/>
      <c r="BU249" s="19"/>
      <c r="BV249" s="19"/>
      <c r="BW249" s="19"/>
      <c r="BX249" s="19"/>
      <c r="CE249" s="19"/>
      <c r="CG249" s="19"/>
      <c r="CH249" s="19"/>
      <c r="CI249" s="19"/>
      <c r="CJ249" s="19"/>
      <c r="CK249" s="19"/>
      <c r="CL249" s="19"/>
      <c r="CM249" s="19"/>
      <c r="CN249" s="19"/>
      <c r="CO249" s="19"/>
      <c r="CP249" s="19"/>
      <c r="CQ249" s="19"/>
      <c r="CS249" s="19"/>
      <c r="CT249" s="19"/>
      <c r="CU249" s="19"/>
      <c r="CV249" s="19"/>
      <c r="CW249" s="21"/>
      <c r="CX249" s="15"/>
      <c r="CY249" s="21"/>
      <c r="CZ249" s="21"/>
      <c r="DA249" s="21"/>
      <c r="DB249" s="21"/>
      <c r="DC249" s="21"/>
      <c r="DD249" s="15"/>
      <c r="DE249" s="15"/>
      <c r="DF249" s="21"/>
      <c r="DG249" s="15"/>
      <c r="DH249" s="15"/>
      <c r="DI249" s="15"/>
      <c r="DJ249" s="15"/>
      <c r="DK249" s="10"/>
      <c r="DL249" s="10"/>
      <c r="DM249" s="10"/>
      <c r="DN249" s="10"/>
      <c r="DO249" s="10"/>
      <c r="DP249" s="10"/>
      <c r="DQ249" s="10"/>
      <c r="DR249" s="10"/>
      <c r="DS249" s="10"/>
      <c r="DT249" s="10"/>
      <c r="DU249" s="10"/>
      <c r="DV249" s="10"/>
      <c r="DW249" s="10"/>
      <c r="DX249" s="10"/>
      <c r="DY249" s="10"/>
      <c r="DZ249" s="10"/>
      <c r="EA249" s="10"/>
      <c r="EB249" s="10"/>
      <c r="EC249" s="10"/>
      <c r="ED249" s="10"/>
      <c r="EE249" s="10"/>
      <c r="EF249" s="10"/>
      <c r="EG249" s="10"/>
      <c r="EH249" s="10"/>
      <c r="EI249" s="15"/>
      <c r="EJ249" s="15"/>
      <c r="EK249" s="15"/>
      <c r="EL249" s="15"/>
      <c r="EM249" s="15"/>
      <c r="EN249" s="15"/>
      <c r="EO249" s="15"/>
      <c r="EP249" s="15"/>
      <c r="EQ249" s="15"/>
      <c r="ER249" s="15"/>
      <c r="ES249" s="15"/>
      <c r="ET249" s="15"/>
      <c r="EU249" s="15"/>
      <c r="EV249" s="15"/>
      <c r="EW249" s="15"/>
      <c r="EX249" s="15"/>
      <c r="EY249" s="15"/>
      <c r="EZ249" s="15"/>
      <c r="FA249" s="15"/>
      <c r="FB249" s="15"/>
      <c r="FC249" s="15"/>
      <c r="FD249" s="15"/>
      <c r="FE249" s="15"/>
      <c r="FF249" s="15"/>
      <c r="FG249" s="15"/>
      <c r="FH249" s="15"/>
      <c r="FI249" s="15"/>
      <c r="FJ249" s="15"/>
      <c r="FK249" s="15"/>
      <c r="FL249" s="15"/>
      <c r="FM249" s="15"/>
      <c r="FN249" s="15"/>
      <c r="FO249" s="15"/>
      <c r="FP249" s="15"/>
      <c r="FQ249" s="15"/>
      <c r="FR249" s="15"/>
      <c r="FS249" s="15"/>
      <c r="FT249" s="15"/>
      <c r="FU249" s="15"/>
      <c r="FV249" s="15"/>
    </row>
    <row r="250" spans="2:178" s="2" customFormat="1" ht="15" customHeight="1">
      <c r="D250" s="8"/>
      <c r="E250" s="8"/>
      <c r="F250" s="8"/>
      <c r="G250" s="8"/>
      <c r="H250" s="8"/>
      <c r="I250" s="8"/>
      <c r="S250" s="20"/>
      <c r="V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  <c r="AP250" s="15"/>
      <c r="AQ250" s="21"/>
      <c r="AR250" s="21"/>
      <c r="AS250" s="15"/>
      <c r="AT250" s="21"/>
      <c r="AU250" s="21"/>
      <c r="AV250" s="21"/>
      <c r="AW250" s="21"/>
      <c r="AX250" s="21"/>
      <c r="AY250" s="21"/>
      <c r="AZ250" s="15"/>
      <c r="BA250" s="21"/>
      <c r="BB250" s="22"/>
      <c r="BC250" s="21"/>
      <c r="BE250" s="19"/>
      <c r="BK250" s="19"/>
      <c r="BM250" s="19"/>
      <c r="BO250" s="19"/>
      <c r="BP250" s="19"/>
      <c r="BQ250" s="19"/>
      <c r="BR250" s="19"/>
      <c r="BS250" s="19"/>
      <c r="BU250" s="19"/>
      <c r="BV250" s="19"/>
      <c r="BW250" s="19"/>
      <c r="BX250" s="19"/>
      <c r="CE250" s="19"/>
      <c r="CG250" s="19"/>
      <c r="CH250" s="19"/>
      <c r="CI250" s="19"/>
      <c r="CJ250" s="19"/>
      <c r="CK250" s="19"/>
      <c r="CL250" s="19"/>
      <c r="CM250" s="19"/>
      <c r="CN250" s="19"/>
      <c r="CO250" s="19"/>
      <c r="CP250" s="19"/>
      <c r="CQ250" s="19"/>
      <c r="CS250" s="19"/>
      <c r="CT250" s="19"/>
      <c r="CU250" s="19"/>
      <c r="CV250" s="19"/>
      <c r="CW250" s="21"/>
      <c r="CX250" s="15"/>
      <c r="CY250" s="21"/>
      <c r="CZ250" s="21"/>
      <c r="DA250" s="21"/>
      <c r="DB250" s="21"/>
      <c r="DC250" s="21"/>
      <c r="DD250" s="15"/>
      <c r="DE250" s="15"/>
      <c r="DF250" s="21"/>
      <c r="DG250" s="15"/>
      <c r="DH250" s="15"/>
      <c r="DI250" s="15"/>
      <c r="DJ250" s="15"/>
      <c r="DK250" s="10"/>
      <c r="DL250" s="10"/>
      <c r="DM250" s="10"/>
      <c r="DN250" s="10"/>
      <c r="DO250" s="10"/>
      <c r="DP250" s="10"/>
      <c r="DQ250" s="10"/>
      <c r="DR250" s="10"/>
      <c r="DS250" s="10"/>
      <c r="DT250" s="10"/>
      <c r="DU250" s="10"/>
      <c r="DV250" s="10"/>
      <c r="DW250" s="10"/>
      <c r="DX250" s="10"/>
      <c r="DY250" s="10"/>
      <c r="DZ250" s="10"/>
      <c r="EA250" s="10"/>
      <c r="EB250" s="10"/>
      <c r="EC250" s="10"/>
      <c r="ED250" s="10"/>
      <c r="EE250" s="10"/>
      <c r="EF250" s="10"/>
      <c r="EG250" s="10"/>
      <c r="EH250" s="10"/>
      <c r="EI250" s="15"/>
      <c r="EJ250" s="15"/>
      <c r="EK250" s="15"/>
      <c r="EL250" s="15"/>
      <c r="EM250" s="15"/>
      <c r="EN250" s="15"/>
      <c r="EO250" s="15"/>
      <c r="EP250" s="15"/>
      <c r="EQ250" s="15"/>
      <c r="ER250" s="15"/>
      <c r="ES250" s="15"/>
      <c r="ET250" s="15"/>
      <c r="EU250" s="15"/>
      <c r="EV250" s="15"/>
      <c r="EW250" s="15"/>
      <c r="EX250" s="15"/>
      <c r="EY250" s="15"/>
      <c r="EZ250" s="15"/>
      <c r="FA250" s="15"/>
      <c r="FB250" s="15"/>
      <c r="FC250" s="15"/>
      <c r="FD250" s="15"/>
      <c r="FE250" s="15"/>
      <c r="FF250" s="15"/>
      <c r="FG250" s="15"/>
      <c r="FH250" s="15"/>
      <c r="FI250" s="15"/>
      <c r="FJ250" s="15"/>
      <c r="FK250" s="15"/>
      <c r="FL250" s="15"/>
      <c r="FM250" s="15"/>
      <c r="FN250" s="15"/>
      <c r="FO250" s="15"/>
      <c r="FP250" s="15"/>
      <c r="FQ250" s="15"/>
      <c r="FR250" s="15"/>
      <c r="FS250" s="15"/>
      <c r="FT250" s="15"/>
      <c r="FU250" s="15"/>
      <c r="FV250" s="15"/>
    </row>
    <row r="251" spans="2:178" s="2" customFormat="1" ht="15" customHeight="1">
      <c r="D251" s="8"/>
      <c r="E251" s="8"/>
      <c r="F251" s="8"/>
      <c r="G251" s="8"/>
      <c r="H251" s="8"/>
      <c r="I251" s="8"/>
      <c r="S251" s="20"/>
      <c r="V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21"/>
      <c r="AR251" s="21"/>
      <c r="AS251" s="15"/>
      <c r="AT251" s="21"/>
      <c r="AU251" s="21"/>
      <c r="AV251" s="21"/>
      <c r="AW251" s="21"/>
      <c r="AX251" s="21"/>
      <c r="AY251" s="21"/>
      <c r="AZ251" s="15"/>
      <c r="BA251" s="21"/>
      <c r="BB251" s="22"/>
      <c r="BC251" s="21"/>
      <c r="BE251" s="19"/>
      <c r="BK251" s="19"/>
      <c r="BM251" s="19"/>
      <c r="BO251" s="19"/>
      <c r="BP251" s="19"/>
      <c r="BQ251" s="19"/>
      <c r="BR251" s="19"/>
      <c r="BS251" s="19"/>
      <c r="BU251" s="19"/>
      <c r="BV251" s="19"/>
      <c r="BW251" s="19"/>
      <c r="BX251" s="19"/>
      <c r="CE251" s="19"/>
      <c r="CG251" s="19"/>
      <c r="CH251" s="19"/>
      <c r="CI251" s="19"/>
      <c r="CJ251" s="19"/>
      <c r="CK251" s="19"/>
      <c r="CL251" s="19"/>
      <c r="CM251" s="19"/>
      <c r="CN251" s="19"/>
      <c r="CO251" s="19"/>
      <c r="CP251" s="19"/>
      <c r="CQ251" s="19"/>
      <c r="CS251" s="19"/>
      <c r="CT251" s="19"/>
      <c r="CU251" s="19"/>
      <c r="CV251" s="19"/>
      <c r="CW251" s="21"/>
      <c r="CX251" s="15"/>
      <c r="CY251" s="21"/>
      <c r="CZ251" s="21"/>
      <c r="DA251" s="21"/>
      <c r="DB251" s="21"/>
      <c r="DC251" s="21"/>
      <c r="DD251" s="15"/>
      <c r="DE251" s="15"/>
      <c r="DF251" s="21"/>
      <c r="DG251" s="15"/>
      <c r="DH251" s="15"/>
      <c r="DI251" s="15"/>
      <c r="DJ251" s="15"/>
      <c r="DK251" s="10"/>
      <c r="DL251" s="10"/>
      <c r="DM251" s="10"/>
      <c r="DN251" s="10"/>
      <c r="DO251" s="10"/>
      <c r="DP251" s="10"/>
      <c r="DQ251" s="10"/>
      <c r="DR251" s="10"/>
      <c r="DS251" s="10"/>
      <c r="DT251" s="10"/>
      <c r="DU251" s="10"/>
      <c r="DV251" s="10"/>
      <c r="DW251" s="10"/>
      <c r="DX251" s="10"/>
      <c r="DY251" s="10"/>
      <c r="DZ251" s="10"/>
      <c r="EA251" s="10"/>
      <c r="EB251" s="10"/>
      <c r="EC251" s="10"/>
      <c r="ED251" s="10"/>
      <c r="EE251" s="10"/>
      <c r="EF251" s="10"/>
      <c r="EG251" s="10"/>
      <c r="EH251" s="10"/>
      <c r="EI251" s="15"/>
      <c r="EJ251" s="15"/>
      <c r="EK251" s="15"/>
      <c r="EL251" s="15"/>
      <c r="EM251" s="15"/>
      <c r="EN251" s="15"/>
      <c r="EO251" s="15"/>
      <c r="EP251" s="15"/>
      <c r="EQ251" s="15"/>
      <c r="ER251" s="15"/>
      <c r="ES251" s="15"/>
      <c r="ET251" s="15"/>
      <c r="EU251" s="15"/>
      <c r="EV251" s="15"/>
      <c r="EW251" s="15"/>
      <c r="EX251" s="15"/>
      <c r="EY251" s="15"/>
      <c r="EZ251" s="15"/>
      <c r="FA251" s="15"/>
      <c r="FB251" s="15"/>
      <c r="FC251" s="15"/>
      <c r="FD251" s="15"/>
      <c r="FE251" s="15"/>
      <c r="FF251" s="15"/>
      <c r="FG251" s="15"/>
      <c r="FH251" s="15"/>
      <c r="FI251" s="15"/>
      <c r="FJ251" s="15"/>
      <c r="FK251" s="15"/>
      <c r="FL251" s="15"/>
      <c r="FM251" s="15"/>
      <c r="FN251" s="15"/>
      <c r="FO251" s="15"/>
      <c r="FP251" s="15"/>
      <c r="FQ251" s="15"/>
      <c r="FR251" s="15"/>
      <c r="FS251" s="15"/>
      <c r="FT251" s="15"/>
      <c r="FU251" s="15"/>
      <c r="FV251" s="15"/>
    </row>
    <row r="252" spans="2:178" s="2" customFormat="1" ht="12" customHeight="1">
      <c r="D252" s="8"/>
      <c r="E252" s="8"/>
      <c r="F252" s="8"/>
      <c r="G252" s="8"/>
      <c r="H252" s="8"/>
      <c r="I252" s="8"/>
      <c r="S252" s="20"/>
      <c r="V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  <c r="AP252" s="15"/>
      <c r="AQ252" s="21"/>
      <c r="AR252" s="21"/>
      <c r="AS252" s="15"/>
      <c r="AT252" s="21"/>
      <c r="AU252" s="21"/>
      <c r="AV252" s="21"/>
      <c r="AW252" s="21"/>
      <c r="AX252" s="21"/>
      <c r="AY252" s="21"/>
      <c r="AZ252" s="15"/>
      <c r="BA252" s="21"/>
      <c r="BB252" s="22"/>
      <c r="BC252" s="21"/>
      <c r="BE252" s="19"/>
      <c r="BK252" s="19"/>
      <c r="BM252" s="19"/>
      <c r="BO252" s="19"/>
      <c r="BP252" s="19"/>
      <c r="BQ252" s="19"/>
      <c r="BR252" s="19"/>
      <c r="BS252" s="19"/>
      <c r="BU252" s="19"/>
      <c r="BV252" s="19"/>
      <c r="BW252" s="19"/>
      <c r="BX252" s="19"/>
      <c r="CE252" s="19"/>
      <c r="CG252" s="19"/>
      <c r="CH252" s="19"/>
      <c r="CI252" s="19"/>
      <c r="CJ252" s="19"/>
      <c r="CK252" s="19"/>
      <c r="CL252" s="19"/>
      <c r="CM252" s="19"/>
      <c r="CN252" s="19"/>
      <c r="CO252" s="19"/>
      <c r="CP252" s="19"/>
      <c r="CQ252" s="19"/>
      <c r="CS252" s="19"/>
      <c r="CT252" s="19"/>
      <c r="CU252" s="19"/>
      <c r="CV252" s="19"/>
      <c r="CW252" s="21"/>
      <c r="CX252" s="15"/>
      <c r="CY252" s="21"/>
      <c r="CZ252" s="21"/>
      <c r="DA252" s="21"/>
      <c r="DB252" s="21"/>
      <c r="DC252" s="21"/>
      <c r="DD252" s="15"/>
      <c r="DE252" s="15"/>
      <c r="DF252" s="21"/>
      <c r="DG252" s="15"/>
      <c r="DH252" s="15"/>
      <c r="DI252" s="15"/>
      <c r="DJ252" s="15"/>
      <c r="DK252" s="10"/>
      <c r="DL252" s="10"/>
      <c r="DM252" s="10"/>
      <c r="DN252" s="10"/>
      <c r="DO252" s="10"/>
      <c r="DP252" s="10"/>
      <c r="DQ252" s="10"/>
      <c r="DR252" s="10"/>
      <c r="DS252" s="10"/>
      <c r="DT252" s="10"/>
      <c r="DU252" s="10"/>
      <c r="DV252" s="10"/>
      <c r="DW252" s="10"/>
      <c r="DX252" s="10"/>
      <c r="DY252" s="10"/>
      <c r="DZ252" s="10"/>
      <c r="EA252" s="10"/>
      <c r="EB252" s="10"/>
      <c r="EC252" s="10"/>
      <c r="ED252" s="10"/>
      <c r="EE252" s="10"/>
      <c r="EF252" s="10"/>
      <c r="EG252" s="10"/>
      <c r="EH252" s="10"/>
      <c r="EI252" s="15"/>
      <c r="EJ252" s="15"/>
      <c r="EK252" s="15"/>
      <c r="EL252" s="15"/>
      <c r="EM252" s="15"/>
      <c r="EN252" s="15"/>
      <c r="EO252" s="15"/>
      <c r="EP252" s="15"/>
      <c r="EQ252" s="15"/>
      <c r="ER252" s="15"/>
      <c r="ES252" s="15"/>
      <c r="ET252" s="15"/>
      <c r="EU252" s="15"/>
      <c r="EV252" s="15"/>
      <c r="EW252" s="15"/>
      <c r="EX252" s="15"/>
      <c r="EY252" s="15"/>
      <c r="EZ252" s="15"/>
      <c r="FA252" s="15"/>
      <c r="FB252" s="15"/>
      <c r="FC252" s="15"/>
      <c r="FD252" s="15"/>
      <c r="FE252" s="15"/>
      <c r="FF252" s="15"/>
      <c r="FG252" s="15"/>
      <c r="FH252" s="15"/>
      <c r="FI252" s="15"/>
      <c r="FJ252" s="15"/>
      <c r="FK252" s="15"/>
      <c r="FL252" s="15"/>
      <c r="FM252" s="15"/>
      <c r="FN252" s="15"/>
      <c r="FO252" s="15"/>
      <c r="FP252" s="15"/>
      <c r="FQ252" s="15"/>
      <c r="FR252" s="15"/>
      <c r="FS252" s="15"/>
      <c r="FT252" s="15"/>
      <c r="FU252" s="15"/>
      <c r="FV252" s="15"/>
    </row>
    <row r="253" spans="2:178" s="2" customFormat="1" ht="12" customHeight="1">
      <c r="V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5"/>
      <c r="BA253" s="15"/>
      <c r="BB253" s="15"/>
      <c r="BC253" s="15"/>
      <c r="CW253" s="15"/>
      <c r="CX253" s="10"/>
      <c r="CY253" s="10"/>
      <c r="CZ253" s="10"/>
      <c r="DA253" s="10"/>
      <c r="DB253" s="10"/>
      <c r="DC253" s="10"/>
      <c r="DD253" s="10"/>
      <c r="DE253" s="10"/>
      <c r="DF253" s="10"/>
      <c r="DG253" s="10"/>
      <c r="DH253" s="10"/>
      <c r="DI253" s="10"/>
      <c r="DJ253" s="10"/>
      <c r="DK253" s="10"/>
      <c r="DL253" s="10"/>
      <c r="DM253" s="10"/>
      <c r="DN253" s="10"/>
      <c r="DO253" s="10"/>
      <c r="DP253" s="10"/>
      <c r="DQ253" s="10"/>
      <c r="DR253" s="10"/>
      <c r="DS253" s="10"/>
      <c r="DT253" s="10"/>
      <c r="DU253" s="10"/>
      <c r="DV253" s="10"/>
      <c r="DW253" s="10"/>
      <c r="DX253" s="10"/>
      <c r="DY253" s="10"/>
      <c r="DZ253" s="10"/>
      <c r="EA253" s="10"/>
      <c r="EB253" s="10"/>
      <c r="EC253" s="10"/>
      <c r="ED253" s="10"/>
      <c r="EE253" s="10"/>
      <c r="EF253" s="10"/>
      <c r="EG253" s="10"/>
      <c r="EH253" s="10"/>
      <c r="EI253" s="15"/>
      <c r="EJ253" s="15"/>
      <c r="EK253" s="15"/>
      <c r="EL253" s="15"/>
      <c r="EM253" s="15"/>
      <c r="EN253" s="15"/>
      <c r="EO253" s="15"/>
      <c r="EP253" s="15"/>
      <c r="EQ253" s="15"/>
      <c r="ER253" s="15"/>
      <c r="ES253" s="15"/>
      <c r="ET253" s="15"/>
      <c r="EU253" s="15"/>
      <c r="EV253" s="15"/>
      <c r="EW253" s="15"/>
      <c r="EX253" s="15"/>
      <c r="EY253" s="15"/>
      <c r="EZ253" s="15"/>
      <c r="FA253" s="15"/>
      <c r="FB253" s="15"/>
      <c r="FC253" s="15"/>
      <c r="FD253" s="15"/>
      <c r="FE253" s="15"/>
      <c r="FF253" s="15"/>
      <c r="FG253" s="15"/>
      <c r="FH253" s="15"/>
      <c r="FI253" s="15"/>
      <c r="FJ253" s="15"/>
      <c r="FK253" s="15"/>
      <c r="FL253" s="15"/>
      <c r="FM253" s="15"/>
      <c r="FN253" s="15"/>
      <c r="FO253" s="15"/>
      <c r="FP253" s="15"/>
      <c r="FQ253" s="15"/>
      <c r="FR253" s="15"/>
      <c r="FS253" s="15"/>
      <c r="FT253" s="15"/>
      <c r="FU253" s="15"/>
      <c r="FV253" s="15"/>
    </row>
    <row r="254" spans="2:178" s="2" customFormat="1" ht="12" customHeight="1">
      <c r="V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  <c r="AZ254" s="15"/>
      <c r="BA254" s="15"/>
      <c r="BB254" s="15"/>
      <c r="BC254" s="15"/>
      <c r="CW254" s="15"/>
      <c r="CX254" s="10"/>
      <c r="CY254" s="10"/>
      <c r="CZ254" s="10"/>
      <c r="DA254" s="10"/>
      <c r="DB254" s="10"/>
      <c r="DC254" s="10"/>
      <c r="DD254" s="10"/>
      <c r="DE254" s="10"/>
      <c r="DF254" s="10"/>
      <c r="DG254" s="10"/>
      <c r="DH254" s="10"/>
      <c r="DI254" s="10"/>
      <c r="DJ254" s="10"/>
      <c r="DK254" s="10"/>
      <c r="DL254" s="10"/>
      <c r="DM254" s="10"/>
      <c r="DN254" s="10"/>
      <c r="DO254" s="10"/>
      <c r="DP254" s="10"/>
      <c r="DQ254" s="10"/>
      <c r="DR254" s="10"/>
      <c r="DS254" s="10"/>
      <c r="DT254" s="10"/>
      <c r="DU254" s="10"/>
      <c r="DV254" s="10"/>
      <c r="DW254" s="10"/>
      <c r="DX254" s="10"/>
      <c r="DY254" s="10"/>
      <c r="DZ254" s="10"/>
      <c r="EA254" s="10"/>
      <c r="EB254" s="10"/>
      <c r="EC254" s="10"/>
      <c r="ED254" s="10"/>
      <c r="EE254" s="10"/>
      <c r="EF254" s="10"/>
      <c r="EG254" s="10"/>
      <c r="EH254" s="10"/>
      <c r="EI254" s="15"/>
      <c r="EJ254" s="15"/>
      <c r="EK254" s="15"/>
      <c r="EL254" s="15"/>
      <c r="EM254" s="15"/>
      <c r="EN254" s="15"/>
      <c r="EO254" s="15"/>
      <c r="EP254" s="15"/>
      <c r="EQ254" s="15"/>
      <c r="ER254" s="15"/>
      <c r="ES254" s="15"/>
      <c r="ET254" s="15"/>
      <c r="EU254" s="15"/>
      <c r="EV254" s="15"/>
      <c r="EW254" s="15"/>
      <c r="EX254" s="15"/>
      <c r="EY254" s="15"/>
      <c r="EZ254" s="15"/>
      <c r="FA254" s="15"/>
      <c r="FB254" s="15"/>
      <c r="FC254" s="15"/>
      <c r="FD254" s="15"/>
      <c r="FE254" s="15"/>
      <c r="FF254" s="15"/>
      <c r="FG254" s="15"/>
      <c r="FH254" s="15"/>
      <c r="FI254" s="15"/>
      <c r="FJ254" s="15"/>
      <c r="FK254" s="15"/>
      <c r="FL254" s="15"/>
      <c r="FM254" s="15"/>
      <c r="FN254" s="15"/>
      <c r="FO254" s="15"/>
      <c r="FP254" s="15"/>
      <c r="FQ254" s="15"/>
      <c r="FR254" s="15"/>
      <c r="FS254" s="15"/>
      <c r="FT254" s="15"/>
      <c r="FU254" s="15"/>
      <c r="FV254" s="15"/>
    </row>
    <row r="255" spans="2:178" s="2" customFormat="1" ht="12" customHeight="1">
      <c r="V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  <c r="AZ255" s="15"/>
      <c r="BA255" s="15"/>
      <c r="BB255" s="15"/>
      <c r="BC255" s="15"/>
      <c r="CW255" s="15"/>
      <c r="CX255" s="10"/>
      <c r="CY255" s="10"/>
      <c r="CZ255" s="10"/>
      <c r="DA255" s="10"/>
      <c r="DB255" s="10"/>
      <c r="DC255" s="10"/>
      <c r="DD255" s="10"/>
      <c r="DE255" s="10"/>
      <c r="DF255" s="10"/>
      <c r="DG255" s="10"/>
      <c r="DH255" s="10"/>
      <c r="DI255" s="10"/>
      <c r="DJ255" s="10"/>
      <c r="DK255" s="10"/>
      <c r="DL255" s="10"/>
      <c r="DM255" s="10"/>
      <c r="DN255" s="10"/>
      <c r="DO255" s="10"/>
      <c r="DP255" s="10"/>
      <c r="DQ255" s="10"/>
      <c r="DR255" s="10"/>
      <c r="DS255" s="10"/>
      <c r="DT255" s="10"/>
      <c r="DU255" s="10"/>
      <c r="DV255" s="10"/>
      <c r="DW255" s="10"/>
      <c r="DX255" s="10"/>
      <c r="DY255" s="10"/>
      <c r="DZ255" s="10"/>
      <c r="EA255" s="10"/>
      <c r="EB255" s="10"/>
      <c r="EC255" s="10"/>
      <c r="ED255" s="10"/>
      <c r="EE255" s="10"/>
      <c r="EF255" s="10"/>
      <c r="EG255" s="10"/>
      <c r="EH255" s="10"/>
      <c r="EI255" s="15"/>
      <c r="EJ255" s="15"/>
      <c r="EK255" s="15"/>
      <c r="EL255" s="15"/>
      <c r="EM255" s="15"/>
      <c r="EN255" s="15"/>
      <c r="EO255" s="15"/>
      <c r="EP255" s="15"/>
      <c r="EQ255" s="15"/>
      <c r="ER255" s="15"/>
      <c r="ES255" s="15"/>
      <c r="ET255" s="15"/>
      <c r="EU255" s="15"/>
      <c r="EV255" s="15"/>
      <c r="EW255" s="15"/>
      <c r="EX255" s="15"/>
      <c r="EY255" s="15"/>
      <c r="EZ255" s="15"/>
      <c r="FA255" s="15"/>
      <c r="FB255" s="15"/>
      <c r="FC255" s="15"/>
      <c r="FD255" s="15"/>
      <c r="FE255" s="15"/>
      <c r="FF255" s="15"/>
      <c r="FG255" s="15"/>
      <c r="FH255" s="15"/>
      <c r="FI255" s="15"/>
      <c r="FJ255" s="15"/>
      <c r="FK255" s="15"/>
      <c r="FL255" s="15"/>
      <c r="FM255" s="15"/>
      <c r="FN255" s="15"/>
      <c r="FO255" s="15"/>
      <c r="FP255" s="15"/>
      <c r="FQ255" s="15"/>
      <c r="FR255" s="15"/>
      <c r="FS255" s="15"/>
      <c r="FT255" s="15"/>
      <c r="FU255" s="15"/>
      <c r="FV255" s="15"/>
    </row>
    <row r="256" spans="2:178" s="2" customFormat="1">
      <c r="V256" s="15"/>
      <c r="CW256" s="15"/>
      <c r="CX256" s="10"/>
      <c r="CY256" s="10"/>
      <c r="CZ256" s="10"/>
      <c r="DA256" s="10"/>
      <c r="DB256" s="10"/>
      <c r="DC256" s="10"/>
      <c r="DD256" s="10"/>
      <c r="DE256" s="10"/>
      <c r="DF256" s="10"/>
      <c r="DG256" s="10"/>
      <c r="DH256" s="10"/>
      <c r="DI256" s="10"/>
      <c r="DJ256" s="10"/>
      <c r="DK256" s="10"/>
      <c r="DL256" s="10"/>
      <c r="DM256" s="10"/>
      <c r="DN256" s="10"/>
      <c r="DO256" s="10"/>
      <c r="DP256" s="10"/>
      <c r="DQ256" s="10"/>
      <c r="DR256" s="10"/>
      <c r="DS256" s="10"/>
      <c r="DT256" s="10"/>
      <c r="DU256" s="10"/>
      <c r="DV256" s="10"/>
      <c r="DW256" s="10"/>
      <c r="DX256" s="10"/>
      <c r="DY256" s="10"/>
      <c r="DZ256" s="10"/>
      <c r="EA256" s="10"/>
      <c r="EB256" s="10"/>
      <c r="EC256" s="10"/>
      <c r="ED256" s="10"/>
      <c r="EE256" s="10"/>
      <c r="EF256" s="10"/>
      <c r="EG256" s="10"/>
      <c r="EH256" s="10"/>
      <c r="EI256" s="15"/>
      <c r="EJ256" s="15"/>
      <c r="EK256" s="15"/>
      <c r="EL256" s="15"/>
      <c r="EM256" s="15"/>
      <c r="EN256" s="15"/>
      <c r="EO256" s="15"/>
      <c r="EP256" s="15"/>
      <c r="EQ256" s="15"/>
      <c r="ER256" s="15"/>
      <c r="ES256" s="15"/>
      <c r="ET256" s="15"/>
      <c r="EU256" s="15"/>
      <c r="EV256" s="15"/>
      <c r="EW256" s="15"/>
      <c r="EX256" s="15"/>
      <c r="EY256" s="15"/>
      <c r="EZ256" s="15"/>
      <c r="FA256" s="15"/>
      <c r="FB256" s="15"/>
      <c r="FC256" s="15"/>
      <c r="FD256" s="15"/>
      <c r="FE256" s="15"/>
      <c r="FF256" s="15"/>
      <c r="FG256" s="15"/>
      <c r="FH256" s="15"/>
      <c r="FI256" s="15"/>
      <c r="FJ256" s="15"/>
      <c r="FK256" s="15"/>
      <c r="FL256" s="15"/>
      <c r="FM256" s="15"/>
      <c r="FN256" s="15"/>
      <c r="FO256" s="15"/>
      <c r="FP256" s="15"/>
      <c r="FQ256" s="15"/>
      <c r="FR256" s="15"/>
      <c r="FS256" s="15"/>
      <c r="FT256" s="15"/>
      <c r="FU256" s="15"/>
      <c r="FV256" s="15"/>
    </row>
    <row r="257" spans="22:178" s="2" customFormat="1">
      <c r="V257" s="15"/>
      <c r="CX257" s="13"/>
      <c r="CY257" s="13"/>
      <c r="CZ257" s="13"/>
      <c r="DA257" s="13"/>
      <c r="DB257" s="13"/>
      <c r="DC257" s="13"/>
      <c r="DD257" s="13"/>
      <c r="DE257" s="13"/>
      <c r="DF257" s="13"/>
      <c r="DG257" s="13"/>
      <c r="DH257" s="13"/>
      <c r="DI257" s="13"/>
      <c r="DJ257" s="13"/>
      <c r="DK257" s="10"/>
      <c r="DL257" s="10"/>
      <c r="DM257" s="10"/>
      <c r="DN257" s="10"/>
      <c r="DO257" s="10"/>
      <c r="DP257" s="10"/>
      <c r="DQ257" s="10"/>
      <c r="DR257" s="10"/>
      <c r="DS257" s="10"/>
      <c r="DT257" s="10"/>
      <c r="DU257" s="10"/>
      <c r="DV257" s="10"/>
      <c r="DW257" s="10"/>
      <c r="DX257" s="10"/>
      <c r="DY257" s="10"/>
      <c r="DZ257" s="10"/>
      <c r="EA257" s="10"/>
      <c r="EB257" s="10"/>
      <c r="EC257" s="10"/>
      <c r="ED257" s="10"/>
      <c r="EE257" s="10"/>
      <c r="EF257" s="10"/>
      <c r="EG257" s="10"/>
      <c r="EH257" s="10"/>
      <c r="EI257" s="15"/>
      <c r="EJ257" s="15"/>
      <c r="EK257" s="15"/>
      <c r="EL257" s="15"/>
      <c r="EM257" s="15"/>
      <c r="EN257" s="15"/>
      <c r="EO257" s="15"/>
      <c r="EP257" s="15"/>
      <c r="EQ257" s="15"/>
      <c r="ER257" s="15"/>
      <c r="ES257" s="15"/>
      <c r="ET257" s="15"/>
      <c r="EU257" s="15"/>
      <c r="EV257" s="15"/>
      <c r="EW257" s="15"/>
      <c r="EX257" s="15"/>
      <c r="EY257" s="15"/>
      <c r="EZ257" s="15"/>
      <c r="FA257" s="15"/>
      <c r="FB257" s="15"/>
      <c r="FC257" s="15"/>
      <c r="FD257" s="15"/>
      <c r="FE257" s="15"/>
      <c r="FF257" s="15"/>
      <c r="FG257" s="15"/>
      <c r="FH257" s="15"/>
      <c r="FI257" s="15"/>
      <c r="FJ257" s="15"/>
      <c r="FK257" s="15"/>
      <c r="FL257" s="15"/>
      <c r="FM257" s="15"/>
      <c r="FN257" s="15"/>
      <c r="FO257" s="15"/>
      <c r="FP257" s="15"/>
      <c r="FQ257" s="15"/>
      <c r="FR257" s="15"/>
      <c r="FS257" s="15"/>
      <c r="FT257" s="15"/>
      <c r="FU257" s="15"/>
      <c r="FV257" s="15"/>
    </row>
    <row r="258" spans="22:178" s="2" customFormat="1">
      <c r="V258" s="15"/>
      <c r="CX258" s="13"/>
      <c r="CY258" s="13"/>
      <c r="CZ258" s="13"/>
      <c r="DA258" s="13"/>
      <c r="DB258" s="13"/>
      <c r="DC258" s="13"/>
      <c r="DD258" s="13"/>
      <c r="DE258" s="13"/>
      <c r="DF258" s="13"/>
      <c r="DG258" s="13"/>
      <c r="DH258" s="13"/>
      <c r="DI258" s="13"/>
      <c r="DJ258" s="13"/>
      <c r="DK258" s="10"/>
      <c r="DL258" s="10"/>
      <c r="DM258" s="10"/>
      <c r="DN258" s="10"/>
      <c r="DO258" s="10"/>
      <c r="DP258" s="10"/>
      <c r="DQ258" s="10"/>
      <c r="DR258" s="10"/>
      <c r="DS258" s="10"/>
      <c r="DT258" s="10"/>
      <c r="DU258" s="10"/>
      <c r="DV258" s="10"/>
      <c r="DW258" s="10"/>
      <c r="DX258" s="10"/>
      <c r="DY258" s="10"/>
      <c r="DZ258" s="10"/>
      <c r="EA258" s="10"/>
      <c r="EB258" s="10"/>
      <c r="EC258" s="10"/>
      <c r="ED258" s="10"/>
      <c r="EE258" s="10"/>
      <c r="EF258" s="10"/>
      <c r="EG258" s="10"/>
      <c r="EH258" s="10"/>
      <c r="EI258" s="15"/>
      <c r="EJ258" s="15"/>
      <c r="EK258" s="15"/>
      <c r="EL258" s="15"/>
      <c r="EM258" s="15"/>
      <c r="EN258" s="15"/>
      <c r="EO258" s="15"/>
      <c r="EP258" s="15"/>
      <c r="EQ258" s="15"/>
      <c r="ER258" s="15"/>
      <c r="ES258" s="15"/>
      <c r="ET258" s="15"/>
      <c r="EU258" s="15"/>
      <c r="EV258" s="15"/>
      <c r="EW258" s="15"/>
      <c r="EX258" s="15"/>
      <c r="EY258" s="15"/>
      <c r="EZ258" s="15"/>
      <c r="FA258" s="15"/>
      <c r="FB258" s="15"/>
      <c r="FC258" s="15"/>
      <c r="FD258" s="15"/>
      <c r="FE258" s="15"/>
      <c r="FF258" s="15"/>
      <c r="FG258" s="15"/>
      <c r="FH258" s="15"/>
      <c r="FI258" s="15"/>
      <c r="FJ258" s="15"/>
      <c r="FK258" s="15"/>
      <c r="FL258" s="15"/>
      <c r="FM258" s="15"/>
      <c r="FN258" s="15"/>
      <c r="FO258" s="15"/>
      <c r="FP258" s="15"/>
      <c r="FQ258" s="15"/>
      <c r="FR258" s="15"/>
      <c r="FS258" s="15"/>
      <c r="FT258" s="15"/>
      <c r="FU258" s="15"/>
      <c r="FV258" s="15"/>
    </row>
    <row r="259" spans="22:178" s="2" customFormat="1">
      <c r="V259" s="15"/>
      <c r="CX259" s="13"/>
      <c r="CY259" s="13"/>
      <c r="CZ259" s="13"/>
      <c r="DA259" s="13"/>
      <c r="DB259" s="13"/>
      <c r="DC259" s="13"/>
      <c r="DD259" s="13"/>
      <c r="DE259" s="13"/>
      <c r="DF259" s="13"/>
      <c r="DG259" s="13"/>
      <c r="DH259" s="13"/>
      <c r="DI259" s="13"/>
      <c r="DJ259" s="13"/>
      <c r="DK259" s="10"/>
      <c r="DL259" s="10"/>
      <c r="DM259" s="10"/>
      <c r="DN259" s="10"/>
      <c r="DO259" s="10"/>
      <c r="DP259" s="10"/>
      <c r="DQ259" s="10"/>
      <c r="DR259" s="10"/>
      <c r="DS259" s="10"/>
      <c r="DT259" s="10"/>
      <c r="DU259" s="10"/>
      <c r="DV259" s="10"/>
      <c r="DW259" s="10"/>
      <c r="DX259" s="10"/>
      <c r="DY259" s="10"/>
      <c r="DZ259" s="10"/>
      <c r="EA259" s="10"/>
      <c r="EB259" s="10"/>
      <c r="EC259" s="10"/>
      <c r="ED259" s="10"/>
      <c r="EE259" s="10"/>
      <c r="EF259" s="10"/>
      <c r="EG259" s="10"/>
      <c r="EH259" s="10"/>
      <c r="EI259" s="15"/>
      <c r="EJ259" s="15"/>
      <c r="EK259" s="15"/>
      <c r="EL259" s="15"/>
      <c r="EM259" s="15"/>
      <c r="EN259" s="15"/>
      <c r="EO259" s="15"/>
      <c r="EP259" s="15"/>
      <c r="EQ259" s="15"/>
      <c r="ER259" s="15"/>
      <c r="ES259" s="15"/>
      <c r="ET259" s="15"/>
      <c r="EU259" s="15"/>
      <c r="EV259" s="15"/>
      <c r="EW259" s="15"/>
      <c r="EX259" s="15"/>
      <c r="EY259" s="15"/>
      <c r="EZ259" s="15"/>
      <c r="FA259" s="15"/>
      <c r="FB259" s="15"/>
      <c r="FC259" s="15"/>
      <c r="FD259" s="15"/>
      <c r="FE259" s="15"/>
      <c r="FF259" s="15"/>
      <c r="FG259" s="15"/>
      <c r="FH259" s="15"/>
      <c r="FI259" s="15"/>
      <c r="FJ259" s="15"/>
      <c r="FK259" s="15"/>
      <c r="FL259" s="15"/>
      <c r="FM259" s="15"/>
      <c r="FN259" s="15"/>
      <c r="FO259" s="15"/>
      <c r="FP259" s="15"/>
      <c r="FQ259" s="15"/>
      <c r="FR259" s="15"/>
      <c r="FS259" s="15"/>
      <c r="FT259" s="15"/>
      <c r="FU259" s="15"/>
      <c r="FV259" s="15"/>
    </row>
    <row r="260" spans="22:178" s="2" customFormat="1">
      <c r="V260" s="15"/>
      <c r="CX260" s="13"/>
      <c r="CY260" s="13"/>
      <c r="CZ260" s="13"/>
      <c r="DA260" s="13"/>
      <c r="DB260" s="13"/>
      <c r="DC260" s="13"/>
      <c r="DD260" s="13"/>
      <c r="DE260" s="13"/>
      <c r="DF260" s="13"/>
      <c r="DG260" s="13"/>
      <c r="DH260" s="13"/>
      <c r="DI260" s="13"/>
      <c r="DJ260" s="13"/>
      <c r="DK260" s="10"/>
      <c r="DL260" s="10"/>
      <c r="DM260" s="10"/>
      <c r="DN260" s="10"/>
      <c r="DO260" s="10"/>
      <c r="DP260" s="10"/>
      <c r="DQ260" s="10"/>
      <c r="DR260" s="10"/>
      <c r="DS260" s="10"/>
      <c r="DT260" s="10"/>
      <c r="DU260" s="10"/>
      <c r="DV260" s="10"/>
      <c r="DW260" s="10"/>
      <c r="DX260" s="10"/>
      <c r="DY260" s="10"/>
      <c r="DZ260" s="10"/>
      <c r="EA260" s="10"/>
      <c r="EB260" s="10"/>
      <c r="EC260" s="10"/>
      <c r="ED260" s="10"/>
      <c r="EE260" s="10"/>
      <c r="EF260" s="10"/>
      <c r="EG260" s="10"/>
      <c r="EH260" s="10"/>
      <c r="EI260" s="15"/>
      <c r="EJ260" s="15"/>
      <c r="EK260" s="15"/>
      <c r="EL260" s="15"/>
      <c r="EM260" s="15"/>
      <c r="EN260" s="15"/>
      <c r="EO260" s="15"/>
      <c r="EP260" s="15"/>
      <c r="EQ260" s="15"/>
      <c r="ER260" s="15"/>
      <c r="ES260" s="15"/>
      <c r="ET260" s="15"/>
      <c r="EU260" s="15"/>
      <c r="EV260" s="15"/>
      <c r="EW260" s="15"/>
      <c r="EX260" s="15"/>
      <c r="EY260" s="15"/>
      <c r="EZ260" s="15"/>
      <c r="FA260" s="15"/>
      <c r="FB260" s="15"/>
      <c r="FC260" s="15"/>
      <c r="FD260" s="15"/>
      <c r="FE260" s="15"/>
      <c r="FF260" s="15"/>
      <c r="FG260" s="15"/>
      <c r="FH260" s="15"/>
      <c r="FI260" s="15"/>
      <c r="FJ260" s="15"/>
      <c r="FK260" s="15"/>
      <c r="FL260" s="15"/>
      <c r="FM260" s="15"/>
      <c r="FN260" s="15"/>
      <c r="FO260" s="15"/>
      <c r="FP260" s="15"/>
      <c r="FQ260" s="15"/>
      <c r="FR260" s="15"/>
      <c r="FS260" s="15"/>
      <c r="FT260" s="15"/>
      <c r="FU260" s="15"/>
      <c r="FV260" s="15"/>
    </row>
    <row r="261" spans="22:178" s="2" customFormat="1">
      <c r="V261" s="15"/>
      <c r="CX261" s="13"/>
      <c r="CY261" s="13"/>
      <c r="CZ261" s="13"/>
      <c r="DA261" s="13"/>
      <c r="DB261" s="13"/>
      <c r="DC261" s="13"/>
      <c r="DD261" s="13"/>
      <c r="DE261" s="13"/>
      <c r="DF261" s="13"/>
      <c r="DG261" s="13"/>
      <c r="DH261" s="13"/>
      <c r="DI261" s="13"/>
      <c r="DJ261" s="13"/>
      <c r="DK261" s="10"/>
      <c r="DL261" s="10"/>
      <c r="DM261" s="10"/>
      <c r="DN261" s="10"/>
      <c r="DO261" s="10"/>
      <c r="DP261" s="10"/>
      <c r="DQ261" s="10"/>
      <c r="DR261" s="10"/>
      <c r="DS261" s="10"/>
      <c r="DT261" s="10"/>
      <c r="DU261" s="10"/>
      <c r="DV261" s="10"/>
      <c r="DW261" s="10"/>
      <c r="DX261" s="10"/>
      <c r="DY261" s="10"/>
      <c r="DZ261" s="10"/>
      <c r="EA261" s="10"/>
      <c r="EB261" s="10"/>
      <c r="EC261" s="10"/>
      <c r="ED261" s="10"/>
      <c r="EE261" s="10"/>
      <c r="EF261" s="10"/>
      <c r="EG261" s="10"/>
      <c r="EH261" s="10"/>
      <c r="EI261" s="15"/>
      <c r="EJ261" s="15"/>
      <c r="EK261" s="15"/>
      <c r="EL261" s="15"/>
      <c r="EM261" s="15"/>
      <c r="EN261" s="15"/>
      <c r="EO261" s="15"/>
      <c r="EP261" s="15"/>
      <c r="EQ261" s="15"/>
      <c r="ER261" s="15"/>
      <c r="ES261" s="15"/>
      <c r="ET261" s="15"/>
      <c r="EU261" s="15"/>
      <c r="EV261" s="15"/>
      <c r="EW261" s="15"/>
      <c r="EX261" s="15"/>
      <c r="EY261" s="15"/>
      <c r="EZ261" s="15"/>
      <c r="FA261" s="15"/>
      <c r="FB261" s="15"/>
      <c r="FC261" s="15"/>
      <c r="FD261" s="15"/>
      <c r="FE261" s="15"/>
      <c r="FF261" s="15"/>
      <c r="FG261" s="15"/>
      <c r="FH261" s="15"/>
      <c r="FI261" s="15"/>
      <c r="FJ261" s="15"/>
      <c r="FK261" s="15"/>
      <c r="FL261" s="15"/>
      <c r="FM261" s="15"/>
      <c r="FN261" s="15"/>
      <c r="FO261" s="15"/>
      <c r="FP261" s="15"/>
      <c r="FQ261" s="15"/>
      <c r="FR261" s="15"/>
      <c r="FS261" s="15"/>
      <c r="FT261" s="15"/>
      <c r="FU261" s="15"/>
      <c r="FV261" s="15"/>
    </row>
    <row r="262" spans="22:178" s="2" customFormat="1">
      <c r="V262" s="15"/>
      <c r="CX262" s="13"/>
      <c r="CY262" s="13"/>
      <c r="CZ262" s="13"/>
      <c r="DA262" s="13"/>
      <c r="DB262" s="13"/>
      <c r="DC262" s="13"/>
      <c r="DD262" s="13"/>
      <c r="DE262" s="13"/>
      <c r="DF262" s="13"/>
      <c r="DG262" s="13"/>
      <c r="DH262" s="13"/>
      <c r="DI262" s="13"/>
      <c r="DJ262" s="13"/>
      <c r="DK262" s="10"/>
      <c r="DL262" s="10"/>
      <c r="DM262" s="10"/>
      <c r="DN262" s="10"/>
      <c r="DO262" s="10"/>
      <c r="DP262" s="10"/>
      <c r="DQ262" s="10"/>
      <c r="DR262" s="10"/>
      <c r="DS262" s="10"/>
      <c r="DT262" s="10"/>
      <c r="DU262" s="10"/>
      <c r="DV262" s="10"/>
      <c r="DW262" s="10"/>
      <c r="DX262" s="10"/>
      <c r="DY262" s="10"/>
      <c r="DZ262" s="10"/>
      <c r="EA262" s="10"/>
      <c r="EB262" s="10"/>
      <c r="EC262" s="10"/>
      <c r="ED262" s="10"/>
      <c r="EE262" s="10"/>
      <c r="EF262" s="10"/>
      <c r="EG262" s="10"/>
      <c r="EH262" s="10"/>
      <c r="EI262" s="15"/>
      <c r="EJ262" s="15"/>
      <c r="EK262" s="15"/>
      <c r="EL262" s="15"/>
      <c r="EM262" s="15"/>
      <c r="EN262" s="15"/>
      <c r="EO262" s="15"/>
      <c r="EP262" s="15"/>
      <c r="EQ262" s="15"/>
      <c r="ER262" s="15"/>
      <c r="ES262" s="15"/>
      <c r="ET262" s="15"/>
      <c r="EU262" s="15"/>
      <c r="EV262" s="15"/>
      <c r="EW262" s="15"/>
      <c r="EX262" s="15"/>
      <c r="EY262" s="15"/>
      <c r="EZ262" s="15"/>
      <c r="FA262" s="15"/>
      <c r="FB262" s="15"/>
      <c r="FC262" s="15"/>
      <c r="FD262" s="15"/>
      <c r="FE262" s="15"/>
      <c r="FF262" s="15"/>
      <c r="FG262" s="15"/>
      <c r="FH262" s="15"/>
      <c r="FI262" s="15"/>
      <c r="FJ262" s="15"/>
      <c r="FK262" s="15"/>
      <c r="FL262" s="15"/>
      <c r="FM262" s="15"/>
      <c r="FN262" s="15"/>
      <c r="FO262" s="15"/>
      <c r="FP262" s="15"/>
      <c r="FQ262" s="15"/>
      <c r="FR262" s="15"/>
      <c r="FS262" s="15"/>
      <c r="FT262" s="15"/>
      <c r="FU262" s="15"/>
      <c r="FV262" s="15"/>
    </row>
    <row r="263" spans="22:178" s="2" customFormat="1">
      <c r="V263" s="15"/>
      <c r="CX263" s="13"/>
      <c r="CY263" s="13"/>
      <c r="CZ263" s="13"/>
      <c r="DA263" s="13"/>
      <c r="DB263" s="13"/>
      <c r="DC263" s="13"/>
      <c r="DD263" s="13"/>
      <c r="DE263" s="13"/>
      <c r="DF263" s="13"/>
      <c r="DG263" s="13"/>
      <c r="DH263" s="13"/>
      <c r="DI263" s="13"/>
      <c r="DJ263" s="13"/>
      <c r="DK263" s="10"/>
      <c r="DL263" s="10"/>
      <c r="DM263" s="10"/>
      <c r="DN263" s="10"/>
      <c r="DO263" s="10"/>
      <c r="DP263" s="10"/>
      <c r="DQ263" s="10"/>
      <c r="DR263" s="10"/>
      <c r="DS263" s="10"/>
      <c r="DT263" s="10"/>
      <c r="DU263" s="10"/>
      <c r="DV263" s="10"/>
      <c r="DW263" s="10"/>
      <c r="DX263" s="10"/>
      <c r="DY263" s="10"/>
      <c r="DZ263" s="10"/>
      <c r="EA263" s="10"/>
      <c r="EB263" s="10"/>
      <c r="EC263" s="10"/>
      <c r="ED263" s="10"/>
      <c r="EE263" s="10"/>
      <c r="EF263" s="10"/>
      <c r="EG263" s="10"/>
      <c r="EH263" s="10"/>
      <c r="EI263" s="15"/>
      <c r="EJ263" s="15"/>
      <c r="EK263" s="15"/>
      <c r="EL263" s="15"/>
      <c r="EM263" s="15"/>
      <c r="EN263" s="15"/>
      <c r="EO263" s="15"/>
      <c r="EP263" s="15"/>
      <c r="EQ263" s="15"/>
      <c r="ER263" s="15"/>
      <c r="ES263" s="15"/>
      <c r="ET263" s="15"/>
      <c r="EU263" s="15"/>
      <c r="EV263" s="15"/>
      <c r="EW263" s="15"/>
      <c r="EX263" s="15"/>
      <c r="EY263" s="15"/>
      <c r="EZ263" s="15"/>
      <c r="FA263" s="15"/>
      <c r="FB263" s="15"/>
      <c r="FC263" s="15"/>
      <c r="FD263" s="15"/>
      <c r="FE263" s="15"/>
      <c r="FF263" s="15"/>
      <c r="FG263" s="15"/>
      <c r="FH263" s="15"/>
      <c r="FI263" s="15"/>
      <c r="FJ263" s="15"/>
      <c r="FK263" s="15"/>
      <c r="FL263" s="15"/>
      <c r="FM263" s="15"/>
      <c r="FN263" s="15"/>
      <c r="FO263" s="15"/>
      <c r="FP263" s="15"/>
      <c r="FQ263" s="15"/>
      <c r="FR263" s="15"/>
      <c r="FS263" s="15"/>
      <c r="FT263" s="15"/>
      <c r="FU263" s="15"/>
      <c r="FV263" s="15"/>
    </row>
    <row r="264" spans="22:178" s="2" customFormat="1">
      <c r="V264" s="15"/>
      <c r="CX264" s="13"/>
      <c r="CY264" s="13"/>
      <c r="CZ264" s="13"/>
      <c r="DA264" s="13"/>
      <c r="DB264" s="13"/>
      <c r="DC264" s="13"/>
      <c r="DD264" s="13"/>
      <c r="DE264" s="13"/>
      <c r="DF264" s="13"/>
      <c r="DG264" s="13"/>
      <c r="DH264" s="13"/>
      <c r="DI264" s="13"/>
      <c r="DJ264" s="13"/>
      <c r="DK264" s="10"/>
      <c r="DL264" s="10"/>
      <c r="DM264" s="10"/>
      <c r="DN264" s="10"/>
      <c r="DO264" s="10"/>
      <c r="DP264" s="10"/>
      <c r="DQ264" s="10"/>
      <c r="DR264" s="10"/>
      <c r="DS264" s="10"/>
      <c r="DT264" s="10"/>
      <c r="DU264" s="10"/>
      <c r="DV264" s="10"/>
      <c r="DW264" s="10"/>
      <c r="DX264" s="10"/>
      <c r="DY264" s="10"/>
      <c r="DZ264" s="10"/>
      <c r="EA264" s="10"/>
      <c r="EB264" s="10"/>
      <c r="EC264" s="10"/>
      <c r="ED264" s="10"/>
      <c r="EE264" s="10"/>
      <c r="EF264" s="10"/>
      <c r="EG264" s="10"/>
      <c r="EH264" s="10"/>
      <c r="EI264" s="15"/>
      <c r="EJ264" s="15"/>
      <c r="EK264" s="15"/>
      <c r="EL264" s="15"/>
      <c r="EM264" s="15"/>
      <c r="EN264" s="15"/>
      <c r="EO264" s="15"/>
      <c r="EP264" s="15"/>
      <c r="EQ264" s="15"/>
      <c r="ER264" s="15"/>
      <c r="ES264" s="15"/>
      <c r="ET264" s="15"/>
      <c r="EU264" s="15"/>
      <c r="EV264" s="15"/>
      <c r="EW264" s="15"/>
      <c r="EX264" s="15"/>
      <c r="EY264" s="15"/>
      <c r="EZ264" s="15"/>
      <c r="FA264" s="15"/>
      <c r="FB264" s="15"/>
      <c r="FC264" s="15"/>
      <c r="FD264" s="15"/>
      <c r="FE264" s="15"/>
      <c r="FF264" s="15"/>
      <c r="FG264" s="15"/>
      <c r="FH264" s="15"/>
      <c r="FI264" s="15"/>
      <c r="FJ264" s="15"/>
      <c r="FK264" s="15"/>
      <c r="FL264" s="15"/>
      <c r="FM264" s="15"/>
      <c r="FN264" s="15"/>
      <c r="FO264" s="15"/>
      <c r="FP264" s="15"/>
      <c r="FQ264" s="15"/>
      <c r="FR264" s="15"/>
      <c r="FS264" s="15"/>
      <c r="FT264" s="15"/>
      <c r="FU264" s="15"/>
      <c r="FV264" s="15"/>
    </row>
    <row r="265" spans="22:178" s="2" customFormat="1">
      <c r="V265" s="15"/>
      <c r="CX265" s="13"/>
      <c r="CY265" s="13"/>
      <c r="CZ265" s="13"/>
      <c r="DA265" s="13"/>
      <c r="DB265" s="13"/>
      <c r="DC265" s="13"/>
      <c r="DD265" s="13"/>
      <c r="DE265" s="13"/>
      <c r="DF265" s="13"/>
      <c r="DG265" s="13"/>
      <c r="DH265" s="13"/>
      <c r="DI265" s="13"/>
      <c r="DJ265" s="13"/>
      <c r="DK265" s="10"/>
      <c r="DL265" s="10"/>
      <c r="DM265" s="10"/>
      <c r="DN265" s="10"/>
      <c r="DO265" s="10"/>
      <c r="DP265" s="10"/>
      <c r="DQ265" s="10"/>
      <c r="DR265" s="10"/>
      <c r="DS265" s="10"/>
      <c r="DT265" s="10"/>
      <c r="DU265" s="10"/>
      <c r="DV265" s="10"/>
      <c r="DW265" s="10"/>
      <c r="DX265" s="10"/>
      <c r="DY265" s="10"/>
      <c r="DZ265" s="10"/>
      <c r="EA265" s="10"/>
      <c r="EB265" s="10"/>
      <c r="EC265" s="10"/>
      <c r="ED265" s="10"/>
      <c r="EE265" s="10"/>
      <c r="EF265" s="10"/>
      <c r="EG265" s="10"/>
      <c r="EH265" s="10"/>
      <c r="EI265" s="15"/>
      <c r="EJ265" s="15"/>
      <c r="EK265" s="15"/>
      <c r="EL265" s="15"/>
      <c r="EM265" s="15"/>
      <c r="EN265" s="15"/>
      <c r="EO265" s="15"/>
      <c r="EP265" s="15"/>
      <c r="EQ265" s="15"/>
      <c r="ER265" s="15"/>
      <c r="ES265" s="15"/>
      <c r="ET265" s="15"/>
      <c r="EU265" s="15"/>
      <c r="EV265" s="15"/>
      <c r="EW265" s="15"/>
      <c r="EX265" s="15"/>
      <c r="EY265" s="15"/>
      <c r="EZ265" s="15"/>
      <c r="FA265" s="15"/>
      <c r="FB265" s="15"/>
      <c r="FC265" s="15"/>
      <c r="FD265" s="15"/>
      <c r="FE265" s="15"/>
      <c r="FF265" s="15"/>
      <c r="FG265" s="15"/>
      <c r="FH265" s="15"/>
      <c r="FI265" s="15"/>
      <c r="FJ265" s="15"/>
      <c r="FK265" s="15"/>
      <c r="FL265" s="15"/>
      <c r="FM265" s="15"/>
      <c r="FN265" s="15"/>
      <c r="FO265" s="15"/>
      <c r="FP265" s="15"/>
      <c r="FQ265" s="15"/>
      <c r="FR265" s="15"/>
      <c r="FS265" s="15"/>
      <c r="FT265" s="15"/>
      <c r="FU265" s="15"/>
      <c r="FV265" s="15"/>
    </row>
    <row r="266" spans="22:178" s="2" customFormat="1">
      <c r="V266" s="15"/>
      <c r="CX266" s="13"/>
      <c r="CY266" s="13"/>
      <c r="CZ266" s="13"/>
      <c r="DA266" s="13"/>
      <c r="DB266" s="13"/>
      <c r="DC266" s="13"/>
      <c r="DD266" s="13"/>
      <c r="DE266" s="13"/>
      <c r="DF266" s="13"/>
      <c r="DG266" s="13"/>
      <c r="DH266" s="13"/>
      <c r="DI266" s="13"/>
      <c r="DJ266" s="13"/>
      <c r="DK266" s="10"/>
      <c r="DL266" s="10"/>
      <c r="DM266" s="10"/>
      <c r="DN266" s="10"/>
      <c r="DO266" s="10"/>
      <c r="DP266" s="10"/>
      <c r="DQ266" s="10"/>
      <c r="DR266" s="10"/>
      <c r="DS266" s="10"/>
      <c r="DT266" s="10"/>
      <c r="DU266" s="10"/>
      <c r="DV266" s="10"/>
      <c r="DW266" s="10"/>
      <c r="DX266" s="10"/>
      <c r="DY266" s="10"/>
      <c r="DZ266" s="10"/>
      <c r="EA266" s="10"/>
      <c r="EB266" s="10"/>
      <c r="EC266" s="10"/>
      <c r="ED266" s="10"/>
      <c r="EE266" s="10"/>
      <c r="EF266" s="10"/>
      <c r="EG266" s="10"/>
      <c r="EH266" s="10"/>
      <c r="EI266" s="15"/>
      <c r="EJ266" s="15"/>
      <c r="EK266" s="15"/>
      <c r="EL266" s="15"/>
      <c r="EM266" s="15"/>
      <c r="EN266" s="15"/>
      <c r="EO266" s="15"/>
      <c r="EP266" s="15"/>
      <c r="EQ266" s="15"/>
      <c r="ER266" s="15"/>
      <c r="ES266" s="15"/>
      <c r="ET266" s="15"/>
      <c r="EU266" s="15"/>
      <c r="EV266" s="15"/>
      <c r="EW266" s="15"/>
      <c r="EX266" s="15"/>
      <c r="EY266" s="15"/>
      <c r="EZ266" s="15"/>
      <c r="FA266" s="15"/>
      <c r="FB266" s="15"/>
      <c r="FC266" s="15"/>
      <c r="FD266" s="15"/>
      <c r="FE266" s="15"/>
      <c r="FF266" s="15"/>
      <c r="FG266" s="15"/>
      <c r="FH266" s="15"/>
      <c r="FI266" s="15"/>
      <c r="FJ266" s="15"/>
      <c r="FK266" s="15"/>
      <c r="FL266" s="15"/>
      <c r="FM266" s="15"/>
      <c r="FN266" s="15"/>
      <c r="FO266" s="15"/>
      <c r="FP266" s="15"/>
      <c r="FQ266" s="15"/>
      <c r="FR266" s="15"/>
      <c r="FS266" s="15"/>
      <c r="FT266" s="15"/>
      <c r="FU266" s="15"/>
      <c r="FV266" s="15"/>
    </row>
    <row r="267" spans="22:178" s="2" customFormat="1">
      <c r="V267" s="15"/>
      <c r="CX267" s="13"/>
      <c r="CY267" s="13"/>
      <c r="CZ267" s="13"/>
      <c r="DA267" s="13"/>
      <c r="DB267" s="13"/>
      <c r="DC267" s="13"/>
      <c r="DD267" s="13"/>
      <c r="DE267" s="13"/>
      <c r="DF267" s="13"/>
      <c r="DG267" s="13"/>
      <c r="DH267" s="13"/>
      <c r="DI267" s="13"/>
      <c r="DJ267" s="13"/>
      <c r="DK267" s="10"/>
      <c r="DL267" s="10"/>
      <c r="DM267" s="10"/>
      <c r="DN267" s="10"/>
      <c r="DO267" s="10"/>
      <c r="DP267" s="10"/>
      <c r="DQ267" s="10"/>
      <c r="DR267" s="10"/>
      <c r="DS267" s="10"/>
      <c r="DT267" s="10"/>
      <c r="DU267" s="10"/>
      <c r="DV267" s="10"/>
      <c r="DW267" s="10"/>
      <c r="DX267" s="10"/>
      <c r="DY267" s="10"/>
      <c r="DZ267" s="10"/>
      <c r="EA267" s="10"/>
      <c r="EB267" s="10"/>
      <c r="EC267" s="10"/>
      <c r="ED267" s="10"/>
      <c r="EE267" s="10"/>
      <c r="EF267" s="10"/>
      <c r="EG267" s="10"/>
      <c r="EH267" s="10"/>
      <c r="EI267" s="15"/>
      <c r="EJ267" s="15"/>
      <c r="EK267" s="15"/>
      <c r="EL267" s="15"/>
      <c r="EM267" s="15"/>
      <c r="EN267" s="15"/>
      <c r="EO267" s="15"/>
      <c r="EP267" s="15"/>
      <c r="EQ267" s="15"/>
      <c r="ER267" s="15"/>
      <c r="ES267" s="15"/>
      <c r="ET267" s="15"/>
      <c r="EU267" s="15"/>
      <c r="EV267" s="15"/>
      <c r="EW267" s="15"/>
      <c r="EX267" s="15"/>
      <c r="EY267" s="15"/>
      <c r="EZ267" s="15"/>
      <c r="FA267" s="15"/>
      <c r="FB267" s="15"/>
      <c r="FC267" s="15"/>
      <c r="FD267" s="15"/>
      <c r="FE267" s="15"/>
      <c r="FF267" s="15"/>
      <c r="FG267" s="15"/>
      <c r="FH267" s="15"/>
      <c r="FI267" s="15"/>
      <c r="FJ267" s="15"/>
      <c r="FK267" s="15"/>
      <c r="FL267" s="15"/>
      <c r="FM267" s="15"/>
      <c r="FN267" s="15"/>
      <c r="FO267" s="15"/>
      <c r="FP267" s="15"/>
      <c r="FQ267" s="15"/>
      <c r="FR267" s="15"/>
      <c r="FS267" s="15"/>
      <c r="FT267" s="15"/>
      <c r="FU267" s="15"/>
      <c r="FV267" s="15"/>
    </row>
    <row r="268" spans="22:178" s="2" customFormat="1">
      <c r="V268" s="15"/>
      <c r="CX268" s="13"/>
      <c r="CY268" s="13"/>
      <c r="CZ268" s="13"/>
      <c r="DA268" s="13"/>
      <c r="DB268" s="13"/>
      <c r="DC268" s="13"/>
      <c r="DD268" s="13"/>
      <c r="DE268" s="13"/>
      <c r="DF268" s="13"/>
      <c r="DG268" s="13"/>
      <c r="DH268" s="13"/>
      <c r="DI268" s="13"/>
      <c r="DJ268" s="13"/>
      <c r="DK268" s="10"/>
      <c r="DL268" s="10"/>
      <c r="DM268" s="10"/>
      <c r="DN268" s="10"/>
      <c r="DO268" s="10"/>
      <c r="DP268" s="10"/>
      <c r="DQ268" s="10"/>
      <c r="DR268" s="10"/>
      <c r="DS268" s="10"/>
      <c r="DT268" s="10"/>
      <c r="DU268" s="10"/>
      <c r="DV268" s="10"/>
      <c r="DW268" s="10"/>
      <c r="DX268" s="10"/>
      <c r="DY268" s="10"/>
      <c r="DZ268" s="10"/>
      <c r="EA268" s="10"/>
      <c r="EB268" s="10"/>
      <c r="EC268" s="10"/>
      <c r="ED268" s="10"/>
      <c r="EE268" s="10"/>
      <c r="EF268" s="10"/>
      <c r="EG268" s="10"/>
      <c r="EH268" s="10"/>
      <c r="EI268" s="15"/>
      <c r="EJ268" s="15"/>
      <c r="EK268" s="15"/>
      <c r="EL268" s="15"/>
      <c r="EM268" s="15"/>
      <c r="EN268" s="15"/>
      <c r="EO268" s="15"/>
      <c r="EP268" s="15"/>
      <c r="EQ268" s="15"/>
      <c r="ER268" s="15"/>
      <c r="ES268" s="15"/>
      <c r="ET268" s="15"/>
      <c r="EU268" s="15"/>
      <c r="EV268" s="15"/>
      <c r="EW268" s="15"/>
      <c r="EX268" s="15"/>
      <c r="EY268" s="15"/>
      <c r="EZ268" s="15"/>
      <c r="FA268" s="15"/>
      <c r="FB268" s="15"/>
      <c r="FC268" s="15"/>
      <c r="FD268" s="15"/>
      <c r="FE268" s="15"/>
      <c r="FF268" s="15"/>
      <c r="FG268" s="15"/>
      <c r="FH268" s="15"/>
      <c r="FI268" s="15"/>
      <c r="FJ268" s="15"/>
      <c r="FK268" s="15"/>
      <c r="FL268" s="15"/>
      <c r="FM268" s="15"/>
      <c r="FN268" s="15"/>
      <c r="FO268" s="15"/>
      <c r="FP268" s="15"/>
      <c r="FQ268" s="15"/>
      <c r="FR268" s="15"/>
      <c r="FS268" s="15"/>
      <c r="FT268" s="15"/>
      <c r="FU268" s="15"/>
      <c r="FV268" s="15"/>
    </row>
    <row r="269" spans="22:178" s="2" customFormat="1">
      <c r="V269" s="15"/>
      <c r="CX269" s="13"/>
      <c r="CY269" s="13"/>
      <c r="CZ269" s="13"/>
      <c r="DA269" s="13"/>
      <c r="DB269" s="13"/>
      <c r="DC269" s="13"/>
      <c r="DD269" s="13"/>
      <c r="DE269" s="13"/>
      <c r="DF269" s="13"/>
      <c r="DG269" s="13"/>
      <c r="DH269" s="13"/>
      <c r="DI269" s="13"/>
      <c r="DJ269" s="13"/>
      <c r="DK269" s="10"/>
      <c r="DL269" s="10"/>
      <c r="DM269" s="10"/>
      <c r="DN269" s="10"/>
      <c r="DO269" s="10"/>
      <c r="DP269" s="10"/>
      <c r="DQ269" s="10"/>
      <c r="DR269" s="10"/>
      <c r="DS269" s="10"/>
      <c r="DT269" s="10"/>
      <c r="DU269" s="10"/>
      <c r="DV269" s="10"/>
      <c r="DW269" s="10"/>
      <c r="DX269" s="10"/>
      <c r="DY269" s="10"/>
      <c r="DZ269" s="10"/>
      <c r="EA269" s="10"/>
      <c r="EB269" s="10"/>
      <c r="EC269" s="10"/>
      <c r="ED269" s="10"/>
      <c r="EE269" s="10"/>
      <c r="EF269" s="10"/>
      <c r="EG269" s="10"/>
      <c r="EH269" s="10"/>
      <c r="EI269" s="15"/>
      <c r="EJ269" s="15"/>
      <c r="EK269" s="15"/>
      <c r="EL269" s="15"/>
      <c r="EM269" s="15"/>
      <c r="EN269" s="15"/>
      <c r="EO269" s="15"/>
      <c r="EP269" s="15"/>
      <c r="EQ269" s="15"/>
      <c r="ER269" s="15"/>
      <c r="ES269" s="15"/>
      <c r="ET269" s="15"/>
      <c r="EU269" s="15"/>
      <c r="EV269" s="15"/>
      <c r="EW269" s="15"/>
      <c r="EX269" s="15"/>
      <c r="EY269" s="15"/>
      <c r="EZ269" s="15"/>
      <c r="FA269" s="15"/>
      <c r="FB269" s="15"/>
      <c r="FC269" s="15"/>
      <c r="FD269" s="15"/>
      <c r="FE269" s="15"/>
      <c r="FF269" s="15"/>
      <c r="FG269" s="15"/>
      <c r="FH269" s="15"/>
      <c r="FI269" s="15"/>
      <c r="FJ269" s="15"/>
      <c r="FK269" s="15"/>
      <c r="FL269" s="15"/>
      <c r="FM269" s="15"/>
      <c r="FN269" s="15"/>
      <c r="FO269" s="15"/>
      <c r="FP269" s="15"/>
      <c r="FQ269" s="15"/>
      <c r="FR269" s="15"/>
      <c r="FS269" s="15"/>
      <c r="FT269" s="15"/>
      <c r="FU269" s="15"/>
      <c r="FV269" s="15"/>
    </row>
    <row r="270" spans="22:178" s="2" customFormat="1">
      <c r="V270" s="15"/>
      <c r="CX270" s="13"/>
      <c r="CY270" s="13"/>
      <c r="CZ270" s="13"/>
      <c r="DA270" s="13"/>
      <c r="DB270" s="13"/>
      <c r="DC270" s="13"/>
      <c r="DD270" s="13"/>
      <c r="DE270" s="13"/>
      <c r="DF270" s="13"/>
      <c r="DG270" s="13"/>
      <c r="DH270" s="13"/>
      <c r="DI270" s="13"/>
      <c r="DJ270" s="13"/>
      <c r="DK270" s="10"/>
      <c r="DL270" s="10"/>
      <c r="DM270" s="10"/>
      <c r="DN270" s="10"/>
      <c r="DO270" s="10"/>
      <c r="DP270" s="10"/>
      <c r="DQ270" s="10"/>
      <c r="DR270" s="10"/>
      <c r="DS270" s="10"/>
      <c r="DT270" s="10"/>
      <c r="DU270" s="10"/>
      <c r="DV270" s="10"/>
      <c r="DW270" s="10"/>
      <c r="DX270" s="10"/>
      <c r="DY270" s="10"/>
      <c r="DZ270" s="10"/>
      <c r="EA270" s="10"/>
      <c r="EB270" s="10"/>
      <c r="EC270" s="10"/>
      <c r="ED270" s="10"/>
      <c r="EE270" s="10"/>
      <c r="EF270" s="10"/>
      <c r="EG270" s="10"/>
      <c r="EH270" s="10"/>
      <c r="EI270" s="15"/>
      <c r="EJ270" s="15"/>
      <c r="EK270" s="15"/>
      <c r="EL270" s="15"/>
      <c r="EM270" s="15"/>
      <c r="EN270" s="15"/>
      <c r="EO270" s="15"/>
      <c r="EP270" s="15"/>
      <c r="EQ270" s="15"/>
      <c r="ER270" s="15"/>
      <c r="ES270" s="15"/>
      <c r="ET270" s="15"/>
      <c r="EU270" s="15"/>
      <c r="EV270" s="15"/>
      <c r="EW270" s="15"/>
      <c r="EX270" s="15"/>
      <c r="EY270" s="15"/>
      <c r="EZ270" s="15"/>
      <c r="FA270" s="15"/>
      <c r="FB270" s="15"/>
      <c r="FC270" s="15"/>
      <c r="FD270" s="15"/>
      <c r="FE270" s="15"/>
      <c r="FF270" s="15"/>
      <c r="FG270" s="15"/>
      <c r="FH270" s="15"/>
      <c r="FI270" s="15"/>
      <c r="FJ270" s="15"/>
      <c r="FK270" s="15"/>
      <c r="FL270" s="15"/>
      <c r="FM270" s="15"/>
      <c r="FN270" s="15"/>
      <c r="FO270" s="15"/>
      <c r="FP270" s="15"/>
      <c r="FQ270" s="15"/>
      <c r="FR270" s="15"/>
      <c r="FS270" s="15"/>
      <c r="FT270" s="15"/>
      <c r="FU270" s="15"/>
      <c r="FV270" s="15"/>
    </row>
    <row r="271" spans="22:178" s="2" customFormat="1">
      <c r="V271" s="15"/>
      <c r="CX271" s="13"/>
      <c r="CY271" s="13"/>
      <c r="CZ271" s="13"/>
      <c r="DA271" s="13"/>
      <c r="DB271" s="13"/>
      <c r="DC271" s="13"/>
      <c r="DD271" s="13"/>
      <c r="DE271" s="13"/>
      <c r="DF271" s="13"/>
      <c r="DG271" s="13"/>
      <c r="DH271" s="13"/>
      <c r="DI271" s="13"/>
      <c r="DJ271" s="13"/>
      <c r="DK271" s="10"/>
      <c r="DL271" s="10"/>
      <c r="DM271" s="10"/>
      <c r="DN271" s="10"/>
      <c r="DO271" s="10"/>
      <c r="DP271" s="10"/>
      <c r="DQ271" s="10"/>
      <c r="DR271" s="10"/>
      <c r="DS271" s="10"/>
      <c r="DT271" s="10"/>
      <c r="DU271" s="10"/>
      <c r="DV271" s="10"/>
      <c r="DW271" s="10"/>
      <c r="DX271" s="10"/>
      <c r="DY271" s="10"/>
      <c r="DZ271" s="10"/>
      <c r="EA271" s="10"/>
      <c r="EB271" s="10"/>
      <c r="EC271" s="10"/>
      <c r="ED271" s="10"/>
      <c r="EE271" s="10"/>
      <c r="EF271" s="10"/>
      <c r="EG271" s="10"/>
      <c r="EH271" s="10"/>
      <c r="EI271" s="15"/>
      <c r="EJ271" s="15"/>
      <c r="EK271" s="15"/>
      <c r="EL271" s="15"/>
      <c r="EM271" s="15"/>
      <c r="EN271" s="15"/>
      <c r="EO271" s="15"/>
      <c r="EP271" s="15"/>
      <c r="EQ271" s="15"/>
      <c r="ER271" s="15"/>
      <c r="ES271" s="15"/>
      <c r="ET271" s="15"/>
      <c r="EU271" s="15"/>
      <c r="EV271" s="15"/>
      <c r="EW271" s="15"/>
      <c r="EX271" s="15"/>
      <c r="EY271" s="15"/>
      <c r="EZ271" s="15"/>
      <c r="FA271" s="15"/>
      <c r="FB271" s="15"/>
      <c r="FC271" s="15"/>
      <c r="FD271" s="15"/>
      <c r="FE271" s="15"/>
      <c r="FF271" s="15"/>
      <c r="FG271" s="15"/>
      <c r="FH271" s="15"/>
      <c r="FI271" s="15"/>
      <c r="FJ271" s="15"/>
      <c r="FK271" s="15"/>
      <c r="FL271" s="15"/>
      <c r="FM271" s="15"/>
      <c r="FN271" s="15"/>
      <c r="FO271" s="15"/>
      <c r="FP271" s="15"/>
      <c r="FQ271" s="15"/>
      <c r="FR271" s="15"/>
      <c r="FS271" s="15"/>
      <c r="FT271" s="15"/>
      <c r="FU271" s="15"/>
      <c r="FV271" s="15"/>
    </row>
    <row r="272" spans="22:178" s="2" customFormat="1">
      <c r="V272" s="15"/>
      <c r="CX272" s="13"/>
      <c r="CY272" s="13"/>
      <c r="CZ272" s="13"/>
      <c r="DA272" s="13"/>
      <c r="DB272" s="13"/>
      <c r="DC272" s="13"/>
      <c r="DD272" s="13"/>
      <c r="DE272" s="13"/>
      <c r="DF272" s="13"/>
      <c r="DG272" s="13"/>
      <c r="DH272" s="13"/>
      <c r="DI272" s="13"/>
      <c r="DJ272" s="13"/>
      <c r="DK272" s="10"/>
      <c r="DL272" s="10"/>
      <c r="DM272" s="10"/>
      <c r="DN272" s="10"/>
      <c r="DO272" s="10"/>
      <c r="DP272" s="10"/>
      <c r="DQ272" s="10"/>
      <c r="DR272" s="10"/>
      <c r="DS272" s="10"/>
      <c r="DT272" s="10"/>
      <c r="DU272" s="10"/>
      <c r="DV272" s="10"/>
      <c r="DW272" s="10"/>
      <c r="DX272" s="10"/>
      <c r="DY272" s="10"/>
      <c r="DZ272" s="10"/>
      <c r="EA272" s="10"/>
      <c r="EB272" s="10"/>
      <c r="EC272" s="10"/>
      <c r="ED272" s="10"/>
      <c r="EE272" s="10"/>
      <c r="EF272" s="10"/>
      <c r="EG272" s="10"/>
      <c r="EH272" s="10"/>
      <c r="EI272" s="15"/>
      <c r="EJ272" s="15"/>
      <c r="EK272" s="15"/>
      <c r="EL272" s="15"/>
      <c r="EM272" s="15"/>
      <c r="EN272" s="15"/>
      <c r="EO272" s="15"/>
      <c r="EP272" s="15"/>
      <c r="EQ272" s="15"/>
      <c r="ER272" s="15"/>
      <c r="ES272" s="15"/>
      <c r="ET272" s="15"/>
      <c r="EU272" s="15"/>
      <c r="EV272" s="15"/>
      <c r="EW272" s="15"/>
      <c r="EX272" s="15"/>
      <c r="EY272" s="15"/>
      <c r="EZ272" s="15"/>
      <c r="FA272" s="15"/>
      <c r="FB272" s="15"/>
      <c r="FC272" s="15"/>
      <c r="FD272" s="15"/>
      <c r="FE272" s="15"/>
      <c r="FF272" s="15"/>
      <c r="FG272" s="15"/>
      <c r="FH272" s="15"/>
      <c r="FI272" s="15"/>
      <c r="FJ272" s="15"/>
      <c r="FK272" s="15"/>
      <c r="FL272" s="15"/>
      <c r="FM272" s="15"/>
      <c r="FN272" s="15"/>
      <c r="FO272" s="15"/>
      <c r="FP272" s="15"/>
      <c r="FQ272" s="15"/>
      <c r="FR272" s="15"/>
      <c r="FS272" s="15"/>
      <c r="FT272" s="15"/>
      <c r="FU272" s="15"/>
      <c r="FV272" s="15"/>
    </row>
    <row r="273" spans="22:178" s="2" customFormat="1">
      <c r="V273" s="15"/>
      <c r="CX273" s="13"/>
      <c r="CY273" s="13"/>
      <c r="CZ273" s="13"/>
      <c r="DA273" s="13"/>
      <c r="DB273" s="13"/>
      <c r="DC273" s="13"/>
      <c r="DD273" s="13"/>
      <c r="DE273" s="13"/>
      <c r="DF273" s="13"/>
      <c r="DG273" s="13"/>
      <c r="DH273" s="13"/>
      <c r="DI273" s="13"/>
      <c r="DJ273" s="13"/>
      <c r="DK273" s="10"/>
      <c r="DL273" s="10"/>
      <c r="DM273" s="10"/>
      <c r="DN273" s="10"/>
      <c r="DO273" s="10"/>
      <c r="DP273" s="10"/>
      <c r="DQ273" s="10"/>
      <c r="DR273" s="10"/>
      <c r="DS273" s="10"/>
      <c r="DT273" s="10"/>
      <c r="DU273" s="10"/>
      <c r="DV273" s="10"/>
      <c r="DW273" s="10"/>
      <c r="DX273" s="10"/>
      <c r="DY273" s="10"/>
      <c r="DZ273" s="10"/>
      <c r="EA273" s="10"/>
      <c r="EB273" s="10"/>
      <c r="EC273" s="10"/>
      <c r="ED273" s="10"/>
      <c r="EE273" s="10"/>
      <c r="EF273" s="10"/>
      <c r="EG273" s="10"/>
      <c r="EH273" s="10"/>
      <c r="EI273" s="15"/>
      <c r="EJ273" s="15"/>
      <c r="EK273" s="15"/>
      <c r="EL273" s="15"/>
      <c r="EM273" s="15"/>
      <c r="EN273" s="15"/>
      <c r="EO273" s="15"/>
      <c r="EP273" s="15"/>
      <c r="EQ273" s="15"/>
      <c r="ER273" s="15"/>
      <c r="ES273" s="15"/>
      <c r="ET273" s="15"/>
      <c r="EU273" s="15"/>
      <c r="EV273" s="15"/>
      <c r="EW273" s="15"/>
      <c r="EX273" s="15"/>
      <c r="EY273" s="15"/>
      <c r="EZ273" s="15"/>
      <c r="FA273" s="15"/>
      <c r="FB273" s="15"/>
      <c r="FC273" s="15"/>
      <c r="FD273" s="15"/>
      <c r="FE273" s="15"/>
      <c r="FF273" s="15"/>
      <c r="FG273" s="15"/>
      <c r="FH273" s="15"/>
      <c r="FI273" s="15"/>
      <c r="FJ273" s="15"/>
      <c r="FK273" s="15"/>
      <c r="FL273" s="15"/>
      <c r="FM273" s="15"/>
      <c r="FN273" s="15"/>
      <c r="FO273" s="15"/>
      <c r="FP273" s="15"/>
      <c r="FQ273" s="15"/>
      <c r="FR273" s="15"/>
      <c r="FS273" s="15"/>
      <c r="FT273" s="15"/>
      <c r="FU273" s="15"/>
      <c r="FV273" s="15"/>
    </row>
    <row r="274" spans="22:178" s="2" customFormat="1">
      <c r="V274" s="15"/>
      <c r="CX274" s="13"/>
      <c r="CY274" s="13"/>
      <c r="CZ274" s="13"/>
      <c r="DA274" s="13"/>
      <c r="DB274" s="13"/>
      <c r="DC274" s="13"/>
      <c r="DD274" s="13"/>
      <c r="DE274" s="13"/>
      <c r="DF274" s="13"/>
      <c r="DG274" s="13"/>
      <c r="DH274" s="13"/>
      <c r="DI274" s="13"/>
      <c r="DJ274" s="13"/>
      <c r="DK274" s="10"/>
      <c r="DL274" s="10"/>
      <c r="DM274" s="10"/>
      <c r="DN274" s="10"/>
      <c r="DO274" s="10"/>
      <c r="DP274" s="10"/>
      <c r="DQ274" s="10"/>
      <c r="DR274" s="10"/>
      <c r="DS274" s="10"/>
      <c r="DT274" s="10"/>
      <c r="DU274" s="10"/>
      <c r="DV274" s="10"/>
      <c r="DW274" s="10"/>
      <c r="DX274" s="10"/>
      <c r="DY274" s="10"/>
      <c r="DZ274" s="10"/>
      <c r="EA274" s="10"/>
      <c r="EB274" s="10"/>
      <c r="EC274" s="10"/>
      <c r="ED274" s="10"/>
      <c r="EE274" s="10"/>
      <c r="EF274" s="10"/>
      <c r="EG274" s="10"/>
      <c r="EH274" s="10"/>
      <c r="EI274" s="15"/>
      <c r="EJ274" s="15"/>
      <c r="EK274" s="15"/>
      <c r="EL274" s="15"/>
      <c r="EM274" s="15"/>
      <c r="EN274" s="15"/>
      <c r="EO274" s="15"/>
      <c r="EP274" s="15"/>
      <c r="EQ274" s="15"/>
      <c r="ER274" s="15"/>
      <c r="ES274" s="15"/>
      <c r="ET274" s="15"/>
      <c r="EU274" s="15"/>
      <c r="EV274" s="15"/>
      <c r="EW274" s="15"/>
      <c r="EX274" s="15"/>
      <c r="EY274" s="15"/>
      <c r="EZ274" s="15"/>
      <c r="FA274" s="15"/>
      <c r="FB274" s="15"/>
      <c r="FC274" s="15"/>
      <c r="FD274" s="15"/>
      <c r="FE274" s="15"/>
      <c r="FF274" s="15"/>
      <c r="FG274" s="15"/>
      <c r="FH274" s="15"/>
      <c r="FI274" s="15"/>
      <c r="FJ274" s="15"/>
      <c r="FK274" s="15"/>
      <c r="FL274" s="15"/>
      <c r="FM274" s="15"/>
      <c r="FN274" s="15"/>
      <c r="FO274" s="15"/>
      <c r="FP274" s="15"/>
      <c r="FQ274" s="15"/>
      <c r="FR274" s="15"/>
      <c r="FS274" s="15"/>
      <c r="FT274" s="15"/>
      <c r="FU274" s="15"/>
      <c r="FV274" s="15"/>
    </row>
    <row r="275" spans="22:178" s="2" customFormat="1">
      <c r="V275" s="15"/>
      <c r="CX275" s="13"/>
      <c r="CY275" s="13"/>
      <c r="CZ275" s="13"/>
      <c r="DA275" s="13"/>
      <c r="DB275" s="13"/>
      <c r="DC275" s="13"/>
      <c r="DD275" s="13"/>
      <c r="DE275" s="13"/>
      <c r="DF275" s="13"/>
      <c r="DG275" s="13"/>
      <c r="DH275" s="13"/>
      <c r="DI275" s="13"/>
      <c r="DJ275" s="13"/>
      <c r="DK275" s="10"/>
      <c r="DL275" s="10"/>
      <c r="DM275" s="10"/>
      <c r="DN275" s="10"/>
      <c r="DO275" s="10"/>
      <c r="DP275" s="10"/>
      <c r="DQ275" s="10"/>
      <c r="DR275" s="10"/>
      <c r="DS275" s="10"/>
      <c r="DT275" s="10"/>
      <c r="DU275" s="10"/>
      <c r="DV275" s="10"/>
      <c r="DW275" s="10"/>
      <c r="DX275" s="10"/>
      <c r="DY275" s="10"/>
      <c r="DZ275" s="10"/>
      <c r="EA275" s="10"/>
      <c r="EB275" s="10"/>
      <c r="EC275" s="10"/>
      <c r="ED275" s="10"/>
      <c r="EE275" s="10"/>
      <c r="EF275" s="10"/>
      <c r="EG275" s="10"/>
      <c r="EH275" s="10"/>
      <c r="EI275" s="15"/>
      <c r="EJ275" s="15"/>
      <c r="EK275" s="15"/>
      <c r="EL275" s="15"/>
      <c r="EM275" s="15"/>
      <c r="EN275" s="15"/>
      <c r="EO275" s="15"/>
      <c r="EP275" s="15"/>
      <c r="EQ275" s="15"/>
      <c r="ER275" s="15"/>
      <c r="ES275" s="15"/>
      <c r="ET275" s="15"/>
      <c r="EU275" s="15"/>
      <c r="EV275" s="15"/>
      <c r="EW275" s="15"/>
      <c r="EX275" s="15"/>
      <c r="EY275" s="15"/>
      <c r="EZ275" s="15"/>
      <c r="FA275" s="15"/>
      <c r="FB275" s="15"/>
      <c r="FC275" s="15"/>
      <c r="FD275" s="15"/>
      <c r="FE275" s="15"/>
      <c r="FF275" s="15"/>
      <c r="FG275" s="15"/>
      <c r="FH275" s="15"/>
      <c r="FI275" s="15"/>
      <c r="FJ275" s="15"/>
      <c r="FK275" s="15"/>
      <c r="FL275" s="15"/>
      <c r="FM275" s="15"/>
      <c r="FN275" s="15"/>
      <c r="FO275" s="15"/>
      <c r="FP275" s="15"/>
      <c r="FQ275" s="15"/>
      <c r="FR275" s="15"/>
      <c r="FS275" s="15"/>
      <c r="FT275" s="15"/>
      <c r="FU275" s="15"/>
      <c r="FV275" s="15"/>
    </row>
    <row r="276" spans="22:178" s="2" customFormat="1">
      <c r="V276" s="15"/>
      <c r="CX276" s="13"/>
      <c r="CY276" s="13"/>
      <c r="CZ276" s="13"/>
      <c r="DA276" s="13"/>
      <c r="DB276" s="13"/>
      <c r="DC276" s="13"/>
      <c r="DD276" s="13"/>
      <c r="DE276" s="13"/>
      <c r="DF276" s="13"/>
      <c r="DG276" s="13"/>
      <c r="DH276" s="13"/>
      <c r="DI276" s="13"/>
      <c r="DJ276" s="13"/>
      <c r="DK276" s="10"/>
      <c r="DL276" s="10"/>
      <c r="DM276" s="10"/>
      <c r="DN276" s="10"/>
      <c r="DO276" s="10"/>
      <c r="DP276" s="10"/>
      <c r="DQ276" s="10"/>
      <c r="DR276" s="10"/>
      <c r="DS276" s="10"/>
      <c r="DT276" s="10"/>
      <c r="DU276" s="10"/>
      <c r="DV276" s="10"/>
      <c r="DW276" s="10"/>
      <c r="DX276" s="10"/>
      <c r="DY276" s="10"/>
      <c r="DZ276" s="10"/>
      <c r="EA276" s="10"/>
      <c r="EB276" s="10"/>
      <c r="EC276" s="10"/>
      <c r="ED276" s="10"/>
      <c r="EE276" s="10"/>
      <c r="EF276" s="10"/>
      <c r="EG276" s="10"/>
      <c r="EH276" s="10"/>
      <c r="EI276" s="15"/>
      <c r="EJ276" s="15"/>
      <c r="EK276" s="15"/>
      <c r="EL276" s="15"/>
      <c r="EM276" s="15"/>
      <c r="EN276" s="15"/>
      <c r="EO276" s="15"/>
      <c r="EP276" s="15"/>
      <c r="EQ276" s="15"/>
      <c r="ER276" s="15"/>
      <c r="ES276" s="15"/>
      <c r="ET276" s="15"/>
      <c r="EU276" s="15"/>
      <c r="EV276" s="15"/>
      <c r="EW276" s="15"/>
      <c r="EX276" s="15"/>
      <c r="EY276" s="15"/>
      <c r="EZ276" s="15"/>
      <c r="FA276" s="15"/>
      <c r="FB276" s="15"/>
      <c r="FC276" s="15"/>
      <c r="FD276" s="15"/>
      <c r="FE276" s="15"/>
      <c r="FF276" s="15"/>
      <c r="FG276" s="15"/>
      <c r="FH276" s="15"/>
      <c r="FI276" s="15"/>
      <c r="FJ276" s="15"/>
      <c r="FK276" s="15"/>
      <c r="FL276" s="15"/>
      <c r="FM276" s="15"/>
      <c r="FN276" s="15"/>
      <c r="FO276" s="15"/>
      <c r="FP276" s="15"/>
      <c r="FQ276" s="15"/>
      <c r="FR276" s="15"/>
      <c r="FS276" s="15"/>
      <c r="FT276" s="15"/>
      <c r="FU276" s="15"/>
      <c r="FV276" s="15"/>
    </row>
    <row r="277" spans="22:178" s="2" customFormat="1">
      <c r="V277" s="15"/>
      <c r="CX277" s="13"/>
      <c r="CY277" s="13"/>
      <c r="CZ277" s="13"/>
      <c r="DA277" s="13"/>
      <c r="DB277" s="13"/>
      <c r="DC277" s="13"/>
      <c r="DD277" s="13"/>
      <c r="DE277" s="13"/>
      <c r="DF277" s="13"/>
      <c r="DG277" s="13"/>
      <c r="DH277" s="13"/>
      <c r="DI277" s="13"/>
      <c r="DJ277" s="13"/>
      <c r="DK277" s="10"/>
      <c r="DL277" s="10"/>
      <c r="DM277" s="10"/>
      <c r="DN277" s="10"/>
      <c r="DO277" s="10"/>
      <c r="DP277" s="10"/>
      <c r="DQ277" s="10"/>
      <c r="DR277" s="10"/>
      <c r="DS277" s="10"/>
      <c r="DT277" s="10"/>
      <c r="DU277" s="10"/>
      <c r="DV277" s="10"/>
      <c r="DW277" s="10"/>
      <c r="DX277" s="10"/>
      <c r="DY277" s="10"/>
      <c r="DZ277" s="10"/>
      <c r="EA277" s="10"/>
      <c r="EB277" s="10"/>
      <c r="EC277" s="10"/>
      <c r="ED277" s="10"/>
      <c r="EE277" s="10"/>
      <c r="EF277" s="10"/>
      <c r="EG277" s="10"/>
      <c r="EH277" s="10"/>
      <c r="EI277" s="15"/>
      <c r="EJ277" s="15"/>
      <c r="EK277" s="15"/>
      <c r="EL277" s="15"/>
      <c r="EM277" s="15"/>
      <c r="EN277" s="15"/>
      <c r="EO277" s="15"/>
      <c r="EP277" s="15"/>
      <c r="EQ277" s="15"/>
      <c r="ER277" s="15"/>
      <c r="ES277" s="15"/>
      <c r="ET277" s="15"/>
      <c r="EU277" s="15"/>
      <c r="EV277" s="15"/>
      <c r="EW277" s="15"/>
      <c r="EX277" s="15"/>
      <c r="EY277" s="15"/>
      <c r="EZ277" s="15"/>
      <c r="FA277" s="15"/>
      <c r="FB277" s="15"/>
      <c r="FC277" s="15"/>
      <c r="FD277" s="15"/>
      <c r="FE277" s="15"/>
      <c r="FF277" s="15"/>
      <c r="FG277" s="15"/>
      <c r="FH277" s="15"/>
      <c r="FI277" s="15"/>
      <c r="FJ277" s="15"/>
      <c r="FK277" s="15"/>
      <c r="FL277" s="15"/>
      <c r="FM277" s="15"/>
      <c r="FN277" s="15"/>
      <c r="FO277" s="15"/>
      <c r="FP277" s="15"/>
      <c r="FQ277" s="15"/>
      <c r="FR277" s="15"/>
      <c r="FS277" s="15"/>
      <c r="FT277" s="15"/>
      <c r="FU277" s="15"/>
      <c r="FV277" s="15"/>
    </row>
    <row r="278" spans="22:178" s="2" customFormat="1">
      <c r="V278" s="15"/>
      <c r="CX278" s="13"/>
      <c r="CY278" s="13"/>
      <c r="CZ278" s="13"/>
      <c r="DA278" s="13"/>
      <c r="DB278" s="13"/>
      <c r="DC278" s="13"/>
      <c r="DD278" s="13"/>
      <c r="DE278" s="13"/>
      <c r="DF278" s="13"/>
      <c r="DG278" s="13"/>
      <c r="DH278" s="13"/>
      <c r="DI278" s="13"/>
      <c r="DJ278" s="13"/>
      <c r="DK278" s="10"/>
      <c r="DL278" s="10"/>
      <c r="DM278" s="10"/>
      <c r="DN278" s="10"/>
      <c r="DO278" s="10"/>
      <c r="DP278" s="10"/>
      <c r="DQ278" s="10"/>
      <c r="DR278" s="10"/>
      <c r="DS278" s="10"/>
      <c r="DT278" s="10"/>
      <c r="DU278" s="10"/>
      <c r="DV278" s="10"/>
      <c r="DW278" s="10"/>
      <c r="DX278" s="10"/>
      <c r="DY278" s="10"/>
      <c r="DZ278" s="10"/>
      <c r="EA278" s="10"/>
      <c r="EB278" s="10"/>
      <c r="EC278" s="10"/>
      <c r="ED278" s="10"/>
      <c r="EE278" s="10"/>
      <c r="EF278" s="10"/>
      <c r="EG278" s="10"/>
      <c r="EH278" s="10"/>
      <c r="EI278" s="15"/>
      <c r="EJ278" s="15"/>
      <c r="EK278" s="15"/>
      <c r="EL278" s="15"/>
      <c r="EM278" s="15"/>
      <c r="EN278" s="15"/>
      <c r="EO278" s="15"/>
      <c r="EP278" s="15"/>
      <c r="EQ278" s="15"/>
      <c r="ER278" s="15"/>
      <c r="ES278" s="15"/>
      <c r="ET278" s="15"/>
      <c r="EU278" s="15"/>
      <c r="EV278" s="15"/>
      <c r="EW278" s="15"/>
      <c r="EX278" s="15"/>
      <c r="EY278" s="15"/>
      <c r="EZ278" s="15"/>
      <c r="FA278" s="15"/>
      <c r="FB278" s="15"/>
      <c r="FC278" s="15"/>
      <c r="FD278" s="15"/>
      <c r="FE278" s="15"/>
      <c r="FF278" s="15"/>
      <c r="FG278" s="15"/>
      <c r="FH278" s="15"/>
      <c r="FI278" s="15"/>
      <c r="FJ278" s="15"/>
      <c r="FK278" s="15"/>
      <c r="FL278" s="15"/>
      <c r="FM278" s="15"/>
      <c r="FN278" s="15"/>
      <c r="FO278" s="15"/>
      <c r="FP278" s="15"/>
      <c r="FQ278" s="15"/>
      <c r="FR278" s="15"/>
      <c r="FS278" s="15"/>
      <c r="FT278" s="15"/>
      <c r="FU278" s="15"/>
      <c r="FV278" s="15"/>
    </row>
    <row r="279" spans="22:178" s="2" customFormat="1">
      <c r="V279" s="15"/>
      <c r="CX279" s="13"/>
      <c r="CY279" s="13"/>
      <c r="CZ279" s="13"/>
      <c r="DA279" s="13"/>
      <c r="DB279" s="13"/>
      <c r="DC279" s="13"/>
      <c r="DD279" s="13"/>
      <c r="DE279" s="13"/>
      <c r="DF279" s="13"/>
      <c r="DG279" s="13"/>
      <c r="DH279" s="13"/>
      <c r="DI279" s="13"/>
      <c r="DJ279" s="13"/>
      <c r="DK279" s="10"/>
      <c r="DL279" s="10"/>
      <c r="DM279" s="10"/>
      <c r="DN279" s="10"/>
      <c r="DO279" s="10"/>
      <c r="DP279" s="10"/>
      <c r="DQ279" s="10"/>
      <c r="DR279" s="10"/>
      <c r="DS279" s="10"/>
      <c r="DT279" s="10"/>
      <c r="DU279" s="10"/>
      <c r="DV279" s="10"/>
      <c r="DW279" s="10"/>
      <c r="DX279" s="10"/>
      <c r="DY279" s="10"/>
      <c r="DZ279" s="10"/>
      <c r="EA279" s="10"/>
      <c r="EB279" s="10"/>
      <c r="EC279" s="10"/>
      <c r="ED279" s="10"/>
      <c r="EE279" s="10"/>
      <c r="EF279" s="10"/>
      <c r="EG279" s="10"/>
      <c r="EH279" s="10"/>
      <c r="EI279" s="15"/>
      <c r="EJ279" s="15"/>
      <c r="EK279" s="15"/>
      <c r="EL279" s="15"/>
      <c r="EM279" s="15"/>
      <c r="EN279" s="15"/>
      <c r="EO279" s="15"/>
      <c r="EP279" s="15"/>
      <c r="EQ279" s="15"/>
      <c r="ER279" s="15"/>
      <c r="ES279" s="15"/>
      <c r="ET279" s="15"/>
      <c r="EU279" s="15"/>
      <c r="EV279" s="15"/>
      <c r="EW279" s="15"/>
      <c r="EX279" s="15"/>
      <c r="EY279" s="15"/>
      <c r="EZ279" s="15"/>
      <c r="FA279" s="15"/>
      <c r="FB279" s="15"/>
      <c r="FC279" s="15"/>
      <c r="FD279" s="15"/>
      <c r="FE279" s="15"/>
      <c r="FF279" s="15"/>
      <c r="FG279" s="15"/>
      <c r="FH279" s="15"/>
      <c r="FI279" s="15"/>
      <c r="FJ279" s="15"/>
      <c r="FK279" s="15"/>
      <c r="FL279" s="15"/>
      <c r="FM279" s="15"/>
      <c r="FN279" s="15"/>
      <c r="FO279" s="15"/>
      <c r="FP279" s="15"/>
      <c r="FQ279" s="15"/>
      <c r="FR279" s="15"/>
      <c r="FS279" s="15"/>
      <c r="FT279" s="15"/>
      <c r="FU279" s="15"/>
      <c r="FV279" s="15"/>
    </row>
    <row r="280" spans="22:178" s="2" customFormat="1">
      <c r="V280" s="15"/>
      <c r="CX280" s="13"/>
      <c r="CY280" s="13"/>
      <c r="CZ280" s="13"/>
      <c r="DA280" s="13"/>
      <c r="DB280" s="13"/>
      <c r="DC280" s="13"/>
      <c r="DD280" s="13"/>
      <c r="DE280" s="13"/>
      <c r="DF280" s="13"/>
      <c r="DG280" s="13"/>
      <c r="DH280" s="13"/>
      <c r="DI280" s="13"/>
      <c r="DJ280" s="13"/>
      <c r="DK280" s="10"/>
      <c r="DL280" s="10"/>
      <c r="DM280" s="10"/>
      <c r="DN280" s="10"/>
      <c r="DO280" s="10"/>
      <c r="DP280" s="10"/>
      <c r="DQ280" s="10"/>
      <c r="DR280" s="10"/>
      <c r="DS280" s="10"/>
      <c r="DT280" s="10"/>
      <c r="DU280" s="10"/>
      <c r="DV280" s="10"/>
      <c r="DW280" s="10"/>
      <c r="DX280" s="10"/>
      <c r="DY280" s="10"/>
      <c r="DZ280" s="10"/>
      <c r="EA280" s="10"/>
      <c r="EB280" s="10"/>
      <c r="EC280" s="10"/>
      <c r="ED280" s="10"/>
      <c r="EE280" s="10"/>
      <c r="EF280" s="10"/>
      <c r="EG280" s="10"/>
      <c r="EH280" s="10"/>
      <c r="EI280" s="15"/>
      <c r="EJ280" s="15"/>
      <c r="EK280" s="15"/>
      <c r="EL280" s="15"/>
      <c r="EM280" s="15"/>
      <c r="EN280" s="15"/>
      <c r="EO280" s="15"/>
      <c r="EP280" s="15"/>
      <c r="EQ280" s="15"/>
      <c r="ER280" s="15"/>
      <c r="ES280" s="15"/>
      <c r="ET280" s="15"/>
      <c r="EU280" s="15"/>
      <c r="EV280" s="15"/>
      <c r="EW280" s="15"/>
      <c r="EX280" s="15"/>
      <c r="EY280" s="15"/>
      <c r="EZ280" s="15"/>
      <c r="FA280" s="15"/>
      <c r="FB280" s="15"/>
      <c r="FC280" s="15"/>
      <c r="FD280" s="15"/>
      <c r="FE280" s="15"/>
      <c r="FF280" s="15"/>
      <c r="FG280" s="15"/>
      <c r="FH280" s="15"/>
      <c r="FI280" s="15"/>
      <c r="FJ280" s="15"/>
      <c r="FK280" s="15"/>
      <c r="FL280" s="15"/>
      <c r="FM280" s="15"/>
      <c r="FN280" s="15"/>
      <c r="FO280" s="15"/>
      <c r="FP280" s="15"/>
      <c r="FQ280" s="15"/>
      <c r="FR280" s="15"/>
      <c r="FS280" s="15"/>
      <c r="FT280" s="15"/>
      <c r="FU280" s="15"/>
      <c r="FV280" s="15"/>
    </row>
    <row r="281" spans="22:178" s="2" customFormat="1">
      <c r="V281" s="15"/>
      <c r="CX281" s="13"/>
      <c r="CY281" s="13"/>
      <c r="CZ281" s="13"/>
      <c r="DA281" s="13"/>
      <c r="DB281" s="13"/>
      <c r="DC281" s="13"/>
      <c r="DD281" s="13"/>
      <c r="DE281" s="13"/>
      <c r="DF281" s="13"/>
      <c r="DG281" s="13"/>
      <c r="DH281" s="13"/>
      <c r="DI281" s="13"/>
      <c r="DJ281" s="13"/>
      <c r="DK281" s="10"/>
      <c r="DL281" s="10"/>
      <c r="DM281" s="10"/>
      <c r="DN281" s="10"/>
      <c r="DO281" s="10"/>
      <c r="DP281" s="10"/>
      <c r="DQ281" s="10"/>
      <c r="DR281" s="10"/>
      <c r="DS281" s="10"/>
      <c r="DT281" s="10"/>
      <c r="DU281" s="10"/>
      <c r="DV281" s="10"/>
      <c r="DW281" s="10"/>
      <c r="DX281" s="10"/>
      <c r="DY281" s="10"/>
      <c r="DZ281" s="10"/>
      <c r="EA281" s="10"/>
      <c r="EB281" s="10"/>
      <c r="EC281" s="10"/>
      <c r="ED281" s="10"/>
      <c r="EE281" s="10"/>
      <c r="EF281" s="10"/>
      <c r="EG281" s="10"/>
      <c r="EH281" s="10"/>
      <c r="EI281" s="15"/>
      <c r="EJ281" s="15"/>
      <c r="EK281" s="15"/>
      <c r="EL281" s="15"/>
      <c r="EM281" s="15"/>
      <c r="EN281" s="15"/>
      <c r="EO281" s="15"/>
      <c r="EP281" s="15"/>
      <c r="EQ281" s="15"/>
      <c r="ER281" s="15"/>
      <c r="ES281" s="15"/>
      <c r="ET281" s="15"/>
      <c r="EU281" s="15"/>
      <c r="EV281" s="15"/>
      <c r="EW281" s="15"/>
      <c r="EX281" s="15"/>
      <c r="EY281" s="15"/>
      <c r="EZ281" s="15"/>
      <c r="FA281" s="15"/>
      <c r="FB281" s="15"/>
      <c r="FC281" s="15"/>
      <c r="FD281" s="15"/>
      <c r="FE281" s="15"/>
      <c r="FF281" s="15"/>
      <c r="FG281" s="15"/>
      <c r="FH281" s="15"/>
      <c r="FI281" s="15"/>
      <c r="FJ281" s="15"/>
      <c r="FK281" s="15"/>
      <c r="FL281" s="15"/>
      <c r="FM281" s="15"/>
      <c r="FN281" s="15"/>
      <c r="FO281" s="15"/>
      <c r="FP281" s="15"/>
      <c r="FQ281" s="15"/>
      <c r="FR281" s="15"/>
      <c r="FS281" s="15"/>
      <c r="FT281" s="15"/>
      <c r="FU281" s="15"/>
      <c r="FV281" s="15"/>
    </row>
    <row r="282" spans="22:178" s="2" customFormat="1">
      <c r="V282" s="15"/>
      <c r="CX282" s="13"/>
      <c r="CY282" s="13"/>
      <c r="CZ282" s="13"/>
      <c r="DA282" s="13"/>
      <c r="DB282" s="13"/>
      <c r="DC282" s="13"/>
      <c r="DD282" s="13"/>
      <c r="DE282" s="13"/>
      <c r="DF282" s="13"/>
      <c r="DG282" s="13"/>
      <c r="DH282" s="13"/>
      <c r="DI282" s="13"/>
      <c r="DJ282" s="13"/>
      <c r="DK282" s="10"/>
      <c r="DL282" s="10"/>
      <c r="DM282" s="10"/>
      <c r="DN282" s="10"/>
      <c r="DO282" s="10"/>
      <c r="DP282" s="10"/>
      <c r="DQ282" s="10"/>
      <c r="DR282" s="10"/>
      <c r="DS282" s="10"/>
      <c r="DT282" s="10"/>
      <c r="DU282" s="10"/>
      <c r="DV282" s="10"/>
      <c r="DW282" s="10"/>
      <c r="DX282" s="10"/>
      <c r="DY282" s="10"/>
      <c r="DZ282" s="10"/>
      <c r="EA282" s="10"/>
      <c r="EB282" s="10"/>
      <c r="EC282" s="10"/>
      <c r="ED282" s="10"/>
      <c r="EE282" s="10"/>
      <c r="EF282" s="10"/>
      <c r="EG282" s="10"/>
      <c r="EH282" s="10"/>
      <c r="EI282" s="15"/>
      <c r="EJ282" s="15"/>
      <c r="EK282" s="15"/>
      <c r="EL282" s="15"/>
      <c r="EM282" s="15"/>
      <c r="EN282" s="15"/>
      <c r="EO282" s="15"/>
      <c r="EP282" s="15"/>
      <c r="EQ282" s="15"/>
      <c r="ER282" s="15"/>
      <c r="ES282" s="15"/>
      <c r="ET282" s="15"/>
      <c r="EU282" s="15"/>
      <c r="EV282" s="15"/>
      <c r="EW282" s="15"/>
      <c r="EX282" s="15"/>
      <c r="EY282" s="15"/>
      <c r="EZ282" s="15"/>
      <c r="FA282" s="15"/>
      <c r="FB282" s="15"/>
      <c r="FC282" s="15"/>
      <c r="FD282" s="15"/>
      <c r="FE282" s="15"/>
      <c r="FF282" s="15"/>
      <c r="FG282" s="15"/>
      <c r="FH282" s="15"/>
      <c r="FI282" s="15"/>
      <c r="FJ282" s="15"/>
      <c r="FK282" s="15"/>
      <c r="FL282" s="15"/>
      <c r="FM282" s="15"/>
      <c r="FN282" s="15"/>
      <c r="FO282" s="15"/>
      <c r="FP282" s="15"/>
      <c r="FQ282" s="15"/>
      <c r="FR282" s="15"/>
      <c r="FS282" s="15"/>
      <c r="FT282" s="15"/>
      <c r="FU282" s="15"/>
      <c r="FV282" s="15"/>
    </row>
    <row r="283" spans="22:178" s="2" customFormat="1">
      <c r="V283" s="15"/>
      <c r="CX283" s="13"/>
      <c r="CY283" s="13"/>
      <c r="CZ283" s="13"/>
      <c r="DA283" s="13"/>
      <c r="DB283" s="13"/>
      <c r="DC283" s="13"/>
      <c r="DD283" s="13"/>
      <c r="DE283" s="13"/>
      <c r="DF283" s="13"/>
      <c r="DG283" s="13"/>
      <c r="DH283" s="13"/>
      <c r="DI283" s="13"/>
      <c r="DJ283" s="13"/>
      <c r="DK283" s="10"/>
      <c r="DL283" s="10"/>
      <c r="DM283" s="10"/>
      <c r="DN283" s="10"/>
      <c r="DO283" s="10"/>
      <c r="DP283" s="10"/>
      <c r="DQ283" s="10"/>
      <c r="DR283" s="10"/>
      <c r="DS283" s="10"/>
      <c r="DT283" s="10"/>
      <c r="DU283" s="10"/>
      <c r="DV283" s="10"/>
      <c r="DW283" s="10"/>
      <c r="DX283" s="10"/>
      <c r="DY283" s="10"/>
      <c r="DZ283" s="10"/>
      <c r="EA283" s="10"/>
      <c r="EB283" s="10"/>
      <c r="EC283" s="10"/>
      <c r="ED283" s="10"/>
      <c r="EE283" s="10"/>
      <c r="EF283" s="10"/>
      <c r="EG283" s="10"/>
      <c r="EH283" s="10"/>
      <c r="EI283" s="15"/>
      <c r="EJ283" s="15"/>
      <c r="EK283" s="15"/>
      <c r="EL283" s="15"/>
      <c r="EM283" s="15"/>
      <c r="EN283" s="15"/>
      <c r="EO283" s="15"/>
      <c r="EP283" s="15"/>
      <c r="EQ283" s="15"/>
      <c r="ER283" s="15"/>
      <c r="ES283" s="15"/>
      <c r="ET283" s="15"/>
      <c r="EU283" s="15"/>
      <c r="EV283" s="15"/>
      <c r="EW283" s="15"/>
      <c r="EX283" s="15"/>
      <c r="EY283" s="15"/>
      <c r="EZ283" s="15"/>
      <c r="FA283" s="15"/>
      <c r="FB283" s="15"/>
      <c r="FC283" s="15"/>
      <c r="FD283" s="15"/>
      <c r="FE283" s="15"/>
      <c r="FF283" s="15"/>
      <c r="FG283" s="15"/>
      <c r="FH283" s="15"/>
      <c r="FI283" s="15"/>
      <c r="FJ283" s="15"/>
      <c r="FK283" s="15"/>
      <c r="FL283" s="15"/>
      <c r="FM283" s="15"/>
      <c r="FN283" s="15"/>
      <c r="FO283" s="15"/>
      <c r="FP283" s="15"/>
      <c r="FQ283" s="15"/>
      <c r="FR283" s="15"/>
      <c r="FS283" s="15"/>
      <c r="FT283" s="15"/>
      <c r="FU283" s="15"/>
      <c r="FV283" s="15"/>
    </row>
    <row r="284" spans="22:178" s="2" customFormat="1">
      <c r="V284" s="15"/>
      <c r="CX284" s="13"/>
      <c r="CY284" s="13"/>
      <c r="CZ284" s="13"/>
      <c r="DA284" s="13"/>
      <c r="DB284" s="13"/>
      <c r="DC284" s="13"/>
      <c r="DD284" s="13"/>
      <c r="DE284" s="13"/>
      <c r="DF284" s="13"/>
      <c r="DG284" s="13"/>
      <c r="DH284" s="13"/>
      <c r="DI284" s="13"/>
      <c r="DJ284" s="13"/>
      <c r="DK284" s="10"/>
      <c r="DL284" s="10"/>
      <c r="DM284" s="10"/>
      <c r="DN284" s="10"/>
      <c r="DO284" s="10"/>
      <c r="DP284" s="10"/>
      <c r="DQ284" s="10"/>
      <c r="DR284" s="10"/>
      <c r="DS284" s="10"/>
      <c r="DT284" s="10"/>
      <c r="DU284" s="10"/>
      <c r="DV284" s="10"/>
      <c r="DW284" s="10"/>
      <c r="DX284" s="10"/>
      <c r="DY284" s="10"/>
      <c r="DZ284" s="10"/>
      <c r="EA284" s="10"/>
      <c r="EB284" s="10"/>
      <c r="EC284" s="10"/>
      <c r="ED284" s="10"/>
      <c r="EE284" s="10"/>
      <c r="EF284" s="10"/>
      <c r="EG284" s="10"/>
      <c r="EH284" s="10"/>
      <c r="EI284" s="15"/>
      <c r="EJ284" s="15"/>
      <c r="EK284" s="15"/>
      <c r="EL284" s="15"/>
      <c r="EM284" s="15"/>
      <c r="EN284" s="15"/>
      <c r="EO284" s="15"/>
      <c r="EP284" s="15"/>
      <c r="EQ284" s="15"/>
      <c r="ER284" s="15"/>
      <c r="ES284" s="15"/>
      <c r="ET284" s="15"/>
      <c r="EU284" s="15"/>
      <c r="EV284" s="15"/>
      <c r="EW284" s="15"/>
      <c r="EX284" s="15"/>
      <c r="EY284" s="15"/>
      <c r="EZ284" s="15"/>
      <c r="FA284" s="15"/>
      <c r="FB284" s="15"/>
      <c r="FC284" s="15"/>
      <c r="FD284" s="15"/>
      <c r="FE284" s="15"/>
      <c r="FF284" s="15"/>
      <c r="FG284" s="15"/>
      <c r="FH284" s="15"/>
      <c r="FI284" s="15"/>
      <c r="FJ284" s="15"/>
      <c r="FK284" s="15"/>
      <c r="FL284" s="15"/>
      <c r="FM284" s="15"/>
      <c r="FN284" s="15"/>
      <c r="FO284" s="15"/>
      <c r="FP284" s="15"/>
      <c r="FQ284" s="15"/>
      <c r="FR284" s="15"/>
      <c r="FS284" s="15"/>
      <c r="FT284" s="15"/>
      <c r="FU284" s="15"/>
      <c r="FV284" s="15"/>
    </row>
    <row r="285" spans="22:178" s="2" customFormat="1">
      <c r="V285" s="15"/>
      <c r="CX285" s="13"/>
      <c r="CY285" s="13"/>
      <c r="CZ285" s="13"/>
      <c r="DA285" s="13"/>
      <c r="DB285" s="13"/>
      <c r="DC285" s="13"/>
      <c r="DD285" s="13"/>
      <c r="DE285" s="13"/>
      <c r="DF285" s="13"/>
      <c r="DG285" s="13"/>
      <c r="DH285" s="13"/>
      <c r="DI285" s="13"/>
      <c r="DJ285" s="13"/>
      <c r="DK285" s="10"/>
      <c r="DL285" s="10"/>
      <c r="DM285" s="10"/>
      <c r="DN285" s="10"/>
      <c r="DO285" s="10"/>
      <c r="DP285" s="10"/>
      <c r="DQ285" s="10"/>
      <c r="DR285" s="10"/>
      <c r="DS285" s="10"/>
      <c r="DT285" s="10"/>
      <c r="DU285" s="10"/>
      <c r="DV285" s="10"/>
      <c r="DW285" s="10"/>
      <c r="DX285" s="10"/>
      <c r="DY285" s="10"/>
      <c r="DZ285" s="10"/>
      <c r="EA285" s="10"/>
      <c r="EB285" s="10"/>
      <c r="EC285" s="10"/>
      <c r="ED285" s="10"/>
      <c r="EE285" s="10"/>
      <c r="EF285" s="10"/>
      <c r="EG285" s="10"/>
      <c r="EH285" s="10"/>
      <c r="EI285" s="15"/>
      <c r="EJ285" s="15"/>
      <c r="EK285" s="15"/>
      <c r="EL285" s="15"/>
      <c r="EM285" s="15"/>
      <c r="EN285" s="15"/>
      <c r="EO285" s="15"/>
      <c r="EP285" s="15"/>
      <c r="EQ285" s="15"/>
      <c r="ER285" s="15"/>
      <c r="ES285" s="15"/>
      <c r="ET285" s="15"/>
      <c r="EU285" s="15"/>
      <c r="EV285" s="15"/>
      <c r="EW285" s="15"/>
      <c r="EX285" s="15"/>
      <c r="EY285" s="15"/>
      <c r="EZ285" s="15"/>
      <c r="FA285" s="15"/>
      <c r="FB285" s="15"/>
      <c r="FC285" s="15"/>
      <c r="FD285" s="15"/>
      <c r="FE285" s="15"/>
      <c r="FF285" s="15"/>
      <c r="FG285" s="15"/>
      <c r="FH285" s="15"/>
      <c r="FI285" s="15"/>
      <c r="FJ285" s="15"/>
      <c r="FK285" s="15"/>
      <c r="FL285" s="15"/>
      <c r="FM285" s="15"/>
      <c r="FN285" s="15"/>
      <c r="FO285" s="15"/>
      <c r="FP285" s="15"/>
      <c r="FQ285" s="15"/>
      <c r="FR285" s="15"/>
      <c r="FS285" s="15"/>
      <c r="FT285" s="15"/>
      <c r="FU285" s="15"/>
      <c r="FV285" s="15"/>
    </row>
    <row r="286" spans="22:178" s="2" customFormat="1">
      <c r="V286" s="15"/>
      <c r="CX286" s="13"/>
      <c r="CY286" s="13"/>
      <c r="CZ286" s="13"/>
      <c r="DA286" s="13"/>
      <c r="DB286" s="13"/>
      <c r="DC286" s="13"/>
      <c r="DD286" s="13"/>
      <c r="DE286" s="13"/>
      <c r="DF286" s="13"/>
      <c r="DG286" s="13"/>
      <c r="DH286" s="13"/>
      <c r="DI286" s="13"/>
      <c r="DJ286" s="13"/>
      <c r="DK286" s="10"/>
      <c r="DL286" s="10"/>
      <c r="DM286" s="10"/>
      <c r="DN286" s="10"/>
      <c r="DO286" s="10"/>
      <c r="DP286" s="10"/>
      <c r="DQ286" s="10"/>
      <c r="DR286" s="10"/>
      <c r="DS286" s="10"/>
      <c r="DT286" s="10"/>
      <c r="DU286" s="10"/>
      <c r="DV286" s="10"/>
      <c r="DW286" s="10"/>
      <c r="DX286" s="10"/>
      <c r="DY286" s="10"/>
      <c r="DZ286" s="10"/>
      <c r="EA286" s="10"/>
      <c r="EB286" s="10"/>
      <c r="EC286" s="10"/>
      <c r="ED286" s="10"/>
      <c r="EE286" s="10"/>
      <c r="EF286" s="10"/>
      <c r="EG286" s="10"/>
      <c r="EH286" s="10"/>
      <c r="EI286" s="15"/>
      <c r="EJ286" s="15"/>
      <c r="EK286" s="15"/>
      <c r="EL286" s="15"/>
      <c r="EM286" s="15"/>
      <c r="EN286" s="15"/>
      <c r="EO286" s="15"/>
      <c r="EP286" s="15"/>
      <c r="EQ286" s="15"/>
      <c r="ER286" s="15"/>
      <c r="ES286" s="15"/>
      <c r="ET286" s="15"/>
      <c r="EU286" s="15"/>
      <c r="EV286" s="15"/>
      <c r="EW286" s="15"/>
      <c r="EX286" s="15"/>
      <c r="EY286" s="15"/>
      <c r="EZ286" s="15"/>
      <c r="FA286" s="15"/>
      <c r="FB286" s="15"/>
      <c r="FC286" s="15"/>
      <c r="FD286" s="15"/>
      <c r="FE286" s="15"/>
      <c r="FF286" s="15"/>
      <c r="FG286" s="15"/>
      <c r="FH286" s="15"/>
      <c r="FI286" s="15"/>
      <c r="FJ286" s="15"/>
      <c r="FK286" s="15"/>
      <c r="FL286" s="15"/>
      <c r="FM286" s="15"/>
      <c r="FN286" s="15"/>
      <c r="FO286" s="15"/>
      <c r="FP286" s="15"/>
      <c r="FQ286" s="15"/>
      <c r="FR286" s="15"/>
      <c r="FS286" s="15"/>
      <c r="FT286" s="15"/>
      <c r="FU286" s="15"/>
      <c r="FV286" s="15"/>
    </row>
    <row r="287" spans="22:178" s="2" customFormat="1">
      <c r="V287" s="15"/>
      <c r="CX287" s="13"/>
      <c r="CY287" s="13"/>
      <c r="CZ287" s="13"/>
      <c r="DA287" s="13"/>
      <c r="DB287" s="13"/>
      <c r="DC287" s="13"/>
      <c r="DD287" s="13"/>
      <c r="DE287" s="13"/>
      <c r="DF287" s="13"/>
      <c r="DG287" s="13"/>
      <c r="DH287" s="13"/>
      <c r="DI287" s="13"/>
      <c r="DJ287" s="13"/>
      <c r="DK287" s="10"/>
      <c r="DL287" s="10"/>
      <c r="DM287" s="10"/>
      <c r="DN287" s="10"/>
      <c r="DO287" s="10"/>
      <c r="DP287" s="10"/>
      <c r="DQ287" s="10"/>
      <c r="DR287" s="10"/>
      <c r="DS287" s="10"/>
      <c r="DT287" s="10"/>
      <c r="DU287" s="10"/>
      <c r="DV287" s="10"/>
      <c r="DW287" s="10"/>
      <c r="DX287" s="10"/>
      <c r="DY287" s="10"/>
      <c r="DZ287" s="10"/>
      <c r="EA287" s="10"/>
      <c r="EB287" s="10"/>
      <c r="EC287" s="10"/>
      <c r="ED287" s="10"/>
      <c r="EE287" s="10"/>
      <c r="EF287" s="10"/>
      <c r="EG287" s="10"/>
      <c r="EH287" s="10"/>
      <c r="EI287" s="15"/>
      <c r="EJ287" s="15"/>
      <c r="EK287" s="15"/>
      <c r="EL287" s="15"/>
      <c r="EM287" s="15"/>
      <c r="EN287" s="15"/>
      <c r="EO287" s="15"/>
      <c r="EP287" s="15"/>
      <c r="EQ287" s="15"/>
      <c r="ER287" s="15"/>
      <c r="ES287" s="15"/>
      <c r="ET287" s="15"/>
      <c r="EU287" s="15"/>
      <c r="EV287" s="15"/>
      <c r="EW287" s="15"/>
      <c r="EX287" s="15"/>
      <c r="EY287" s="15"/>
      <c r="EZ287" s="15"/>
      <c r="FA287" s="15"/>
      <c r="FB287" s="15"/>
      <c r="FC287" s="15"/>
      <c r="FD287" s="15"/>
      <c r="FE287" s="15"/>
      <c r="FF287" s="15"/>
      <c r="FG287" s="15"/>
      <c r="FH287" s="15"/>
      <c r="FI287" s="15"/>
      <c r="FJ287" s="15"/>
      <c r="FK287" s="15"/>
      <c r="FL287" s="15"/>
      <c r="FM287" s="15"/>
      <c r="FN287" s="15"/>
      <c r="FO287" s="15"/>
      <c r="FP287" s="15"/>
      <c r="FQ287" s="15"/>
      <c r="FR287" s="15"/>
      <c r="FS287" s="15"/>
      <c r="FT287" s="15"/>
      <c r="FU287" s="15"/>
      <c r="FV287" s="15"/>
    </row>
    <row r="288" spans="22:178" s="2" customFormat="1">
      <c r="V288" s="15"/>
      <c r="CX288" s="13"/>
      <c r="CY288" s="13"/>
      <c r="CZ288" s="13"/>
      <c r="DA288" s="13"/>
      <c r="DB288" s="13"/>
      <c r="DC288" s="13"/>
      <c r="DD288" s="13"/>
      <c r="DE288" s="13"/>
      <c r="DF288" s="13"/>
      <c r="DG288" s="13"/>
      <c r="DH288" s="13"/>
      <c r="DI288" s="13"/>
      <c r="DJ288" s="13"/>
      <c r="DK288" s="10"/>
      <c r="DL288" s="10"/>
      <c r="DM288" s="10"/>
      <c r="DN288" s="10"/>
      <c r="DO288" s="10"/>
      <c r="DP288" s="10"/>
      <c r="DQ288" s="10"/>
      <c r="DR288" s="10"/>
      <c r="DS288" s="10"/>
      <c r="DT288" s="10"/>
      <c r="DU288" s="10"/>
      <c r="DV288" s="10"/>
      <c r="DW288" s="10"/>
      <c r="DX288" s="10"/>
      <c r="DY288" s="10"/>
      <c r="DZ288" s="10"/>
      <c r="EA288" s="10"/>
      <c r="EB288" s="10"/>
      <c r="EC288" s="10"/>
      <c r="ED288" s="10"/>
      <c r="EE288" s="10"/>
      <c r="EF288" s="10"/>
      <c r="EG288" s="10"/>
      <c r="EH288" s="10"/>
      <c r="EI288" s="15"/>
      <c r="EJ288" s="15"/>
      <c r="EK288" s="15"/>
      <c r="EL288" s="15"/>
      <c r="EM288" s="15"/>
      <c r="EN288" s="15"/>
      <c r="EO288" s="15"/>
      <c r="EP288" s="15"/>
      <c r="EQ288" s="15"/>
      <c r="ER288" s="15"/>
      <c r="ES288" s="15"/>
      <c r="ET288" s="15"/>
      <c r="EU288" s="15"/>
      <c r="EV288" s="15"/>
      <c r="EW288" s="15"/>
      <c r="EX288" s="15"/>
      <c r="EY288" s="15"/>
      <c r="EZ288" s="15"/>
      <c r="FA288" s="15"/>
      <c r="FB288" s="15"/>
      <c r="FC288" s="15"/>
      <c r="FD288" s="15"/>
      <c r="FE288" s="15"/>
      <c r="FF288" s="15"/>
      <c r="FG288" s="15"/>
      <c r="FH288" s="15"/>
      <c r="FI288" s="15"/>
      <c r="FJ288" s="15"/>
      <c r="FK288" s="15"/>
      <c r="FL288" s="15"/>
      <c r="FM288" s="15"/>
      <c r="FN288" s="15"/>
      <c r="FO288" s="15"/>
      <c r="FP288" s="15"/>
      <c r="FQ288" s="15"/>
      <c r="FR288" s="15"/>
      <c r="FS288" s="15"/>
      <c r="FT288" s="15"/>
      <c r="FU288" s="15"/>
      <c r="FV288" s="15"/>
    </row>
    <row r="289" spans="22:178" s="2" customFormat="1">
      <c r="V289" s="15"/>
      <c r="CX289" s="13"/>
      <c r="CY289" s="13"/>
      <c r="CZ289" s="13"/>
      <c r="DA289" s="13"/>
      <c r="DB289" s="13"/>
      <c r="DC289" s="13"/>
      <c r="DD289" s="13"/>
      <c r="DE289" s="13"/>
      <c r="DF289" s="13"/>
      <c r="DG289" s="13"/>
      <c r="DH289" s="13"/>
      <c r="DI289" s="13"/>
      <c r="DJ289" s="13"/>
      <c r="DK289" s="10"/>
      <c r="DL289" s="10"/>
      <c r="DM289" s="10"/>
      <c r="DN289" s="10"/>
      <c r="DO289" s="10"/>
      <c r="DP289" s="10"/>
      <c r="DQ289" s="10"/>
      <c r="DR289" s="10"/>
      <c r="DS289" s="10"/>
      <c r="DT289" s="10"/>
      <c r="DU289" s="10"/>
      <c r="DV289" s="10"/>
      <c r="DW289" s="10"/>
      <c r="DX289" s="10"/>
      <c r="DY289" s="10"/>
      <c r="DZ289" s="10"/>
      <c r="EA289" s="10"/>
      <c r="EB289" s="10"/>
      <c r="EC289" s="10"/>
      <c r="ED289" s="10"/>
      <c r="EE289" s="10"/>
      <c r="EF289" s="10"/>
      <c r="EG289" s="10"/>
      <c r="EH289" s="10"/>
      <c r="EI289" s="15"/>
      <c r="EJ289" s="15"/>
      <c r="EK289" s="15"/>
      <c r="EL289" s="15"/>
      <c r="EM289" s="15"/>
      <c r="EN289" s="15"/>
      <c r="EO289" s="15"/>
      <c r="EP289" s="15"/>
      <c r="EQ289" s="15"/>
      <c r="ER289" s="15"/>
      <c r="ES289" s="15"/>
      <c r="ET289" s="15"/>
      <c r="EU289" s="15"/>
      <c r="EV289" s="15"/>
      <c r="EW289" s="15"/>
      <c r="EX289" s="15"/>
      <c r="EY289" s="15"/>
      <c r="EZ289" s="15"/>
      <c r="FA289" s="15"/>
      <c r="FB289" s="15"/>
      <c r="FC289" s="15"/>
      <c r="FD289" s="15"/>
      <c r="FE289" s="15"/>
      <c r="FF289" s="15"/>
      <c r="FG289" s="15"/>
      <c r="FH289" s="15"/>
      <c r="FI289" s="15"/>
      <c r="FJ289" s="15"/>
      <c r="FK289" s="15"/>
      <c r="FL289" s="15"/>
      <c r="FM289" s="15"/>
      <c r="FN289" s="15"/>
      <c r="FO289" s="15"/>
      <c r="FP289" s="15"/>
      <c r="FQ289" s="15"/>
      <c r="FR289" s="15"/>
      <c r="FS289" s="15"/>
      <c r="FT289" s="15"/>
      <c r="FU289" s="15"/>
      <c r="FV289" s="15"/>
    </row>
    <row r="290" spans="22:178" s="2" customFormat="1">
      <c r="V290" s="15"/>
      <c r="CX290" s="13"/>
      <c r="CY290" s="13"/>
      <c r="CZ290" s="13"/>
      <c r="DA290" s="13"/>
      <c r="DB290" s="13"/>
      <c r="DC290" s="13"/>
      <c r="DD290" s="13"/>
      <c r="DE290" s="13"/>
      <c r="DF290" s="13"/>
      <c r="DG290" s="13"/>
      <c r="DH290" s="13"/>
      <c r="DI290" s="13"/>
      <c r="DJ290" s="13"/>
      <c r="DK290" s="10"/>
      <c r="DL290" s="10"/>
      <c r="DM290" s="10"/>
      <c r="DN290" s="10"/>
      <c r="DO290" s="10"/>
      <c r="DP290" s="10"/>
      <c r="DQ290" s="10"/>
      <c r="DR290" s="10"/>
      <c r="DS290" s="10"/>
      <c r="DT290" s="10"/>
      <c r="DU290" s="10"/>
      <c r="DV290" s="10"/>
      <c r="DW290" s="10"/>
      <c r="DX290" s="10"/>
      <c r="DY290" s="10"/>
      <c r="DZ290" s="10"/>
      <c r="EA290" s="10"/>
      <c r="EB290" s="10"/>
      <c r="EC290" s="10"/>
      <c r="ED290" s="10"/>
      <c r="EE290" s="10"/>
      <c r="EF290" s="10"/>
      <c r="EG290" s="10"/>
      <c r="EH290" s="10"/>
      <c r="EI290" s="15"/>
      <c r="EJ290" s="15"/>
      <c r="EK290" s="15"/>
      <c r="EL290" s="15"/>
      <c r="EM290" s="15"/>
      <c r="EN290" s="15"/>
      <c r="EO290" s="15"/>
      <c r="EP290" s="15"/>
      <c r="EQ290" s="15"/>
      <c r="ER290" s="15"/>
      <c r="ES290" s="15"/>
      <c r="ET290" s="15"/>
      <c r="EU290" s="15"/>
      <c r="EV290" s="15"/>
      <c r="EW290" s="15"/>
      <c r="EX290" s="15"/>
      <c r="EY290" s="15"/>
      <c r="EZ290" s="15"/>
      <c r="FA290" s="15"/>
      <c r="FB290" s="15"/>
      <c r="FC290" s="15"/>
      <c r="FD290" s="15"/>
      <c r="FE290" s="15"/>
      <c r="FF290" s="15"/>
      <c r="FG290" s="15"/>
      <c r="FH290" s="15"/>
      <c r="FI290" s="15"/>
      <c r="FJ290" s="15"/>
      <c r="FK290" s="15"/>
      <c r="FL290" s="15"/>
      <c r="FM290" s="15"/>
      <c r="FN290" s="15"/>
      <c r="FO290" s="15"/>
      <c r="FP290" s="15"/>
      <c r="FQ290" s="15"/>
      <c r="FR290" s="15"/>
      <c r="FS290" s="15"/>
      <c r="FT290" s="15"/>
      <c r="FU290" s="15"/>
      <c r="FV290" s="15"/>
    </row>
    <row r="291" spans="22:178" s="2" customFormat="1">
      <c r="V291" s="15"/>
      <c r="CX291" s="13"/>
      <c r="CY291" s="13"/>
      <c r="CZ291" s="13"/>
      <c r="DA291" s="13"/>
      <c r="DB291" s="13"/>
      <c r="DC291" s="13"/>
      <c r="DD291" s="13"/>
      <c r="DE291" s="13"/>
      <c r="DF291" s="13"/>
      <c r="DG291" s="13"/>
      <c r="DH291" s="13"/>
      <c r="DI291" s="13"/>
      <c r="DJ291" s="13"/>
      <c r="DK291" s="10"/>
      <c r="DL291" s="10"/>
      <c r="DM291" s="10"/>
      <c r="DN291" s="10"/>
      <c r="DO291" s="10"/>
      <c r="DP291" s="10"/>
      <c r="DQ291" s="10"/>
      <c r="DR291" s="10"/>
      <c r="DS291" s="10"/>
      <c r="DT291" s="10"/>
      <c r="DU291" s="10"/>
      <c r="DV291" s="10"/>
      <c r="DW291" s="10"/>
      <c r="DX291" s="10"/>
      <c r="DY291" s="10"/>
      <c r="DZ291" s="10"/>
      <c r="EA291" s="10"/>
      <c r="EB291" s="10"/>
      <c r="EC291" s="10"/>
      <c r="ED291" s="10"/>
      <c r="EE291" s="10"/>
      <c r="EF291" s="10"/>
      <c r="EG291" s="10"/>
      <c r="EH291" s="10"/>
      <c r="EI291" s="15"/>
      <c r="EJ291" s="15"/>
      <c r="EK291" s="15"/>
      <c r="EL291" s="15"/>
      <c r="EM291" s="15"/>
      <c r="EN291" s="15"/>
      <c r="EO291" s="15"/>
      <c r="EP291" s="15"/>
      <c r="EQ291" s="15"/>
      <c r="ER291" s="15"/>
      <c r="ES291" s="15"/>
      <c r="ET291" s="15"/>
      <c r="EU291" s="15"/>
      <c r="EV291" s="15"/>
      <c r="EW291" s="15"/>
      <c r="EX291" s="15"/>
      <c r="EY291" s="15"/>
      <c r="EZ291" s="15"/>
      <c r="FA291" s="15"/>
      <c r="FB291" s="15"/>
      <c r="FC291" s="15"/>
      <c r="FD291" s="15"/>
      <c r="FE291" s="15"/>
      <c r="FF291" s="15"/>
      <c r="FG291" s="15"/>
      <c r="FH291" s="15"/>
      <c r="FI291" s="15"/>
      <c r="FJ291" s="15"/>
      <c r="FK291" s="15"/>
      <c r="FL291" s="15"/>
      <c r="FM291" s="15"/>
      <c r="FN291" s="15"/>
      <c r="FO291" s="15"/>
      <c r="FP291" s="15"/>
      <c r="FQ291" s="15"/>
      <c r="FR291" s="15"/>
      <c r="FS291" s="15"/>
      <c r="FT291" s="15"/>
      <c r="FU291" s="15"/>
      <c r="FV291" s="15"/>
    </row>
    <row r="292" spans="22:178" s="2" customFormat="1">
      <c r="V292" s="15"/>
      <c r="CX292" s="13"/>
      <c r="CY292" s="13"/>
      <c r="CZ292" s="13"/>
      <c r="DA292" s="13"/>
      <c r="DB292" s="13"/>
      <c r="DC292" s="13"/>
      <c r="DD292" s="13"/>
      <c r="DE292" s="13"/>
      <c r="DF292" s="13"/>
      <c r="DG292" s="13"/>
      <c r="DH292" s="13"/>
      <c r="DI292" s="13"/>
      <c r="DJ292" s="13"/>
      <c r="DK292" s="10"/>
      <c r="DL292" s="10"/>
      <c r="DM292" s="10"/>
      <c r="DN292" s="10"/>
      <c r="DO292" s="10"/>
      <c r="DP292" s="10"/>
      <c r="DQ292" s="10"/>
      <c r="DR292" s="10"/>
      <c r="DS292" s="10"/>
      <c r="DT292" s="10"/>
      <c r="DU292" s="10"/>
      <c r="DV292" s="10"/>
      <c r="DW292" s="10"/>
      <c r="DX292" s="10"/>
      <c r="DY292" s="10"/>
      <c r="DZ292" s="10"/>
      <c r="EA292" s="10"/>
      <c r="EB292" s="10"/>
      <c r="EC292" s="10"/>
      <c r="ED292" s="10"/>
      <c r="EE292" s="10"/>
      <c r="EF292" s="10"/>
      <c r="EG292" s="10"/>
      <c r="EH292" s="10"/>
      <c r="EI292" s="15"/>
      <c r="EJ292" s="15"/>
      <c r="EK292" s="15"/>
      <c r="EL292" s="15"/>
      <c r="EM292" s="15"/>
      <c r="EN292" s="15"/>
      <c r="EO292" s="15"/>
      <c r="EP292" s="15"/>
      <c r="EQ292" s="15"/>
      <c r="ER292" s="15"/>
      <c r="ES292" s="15"/>
      <c r="ET292" s="15"/>
      <c r="EU292" s="15"/>
      <c r="EV292" s="15"/>
      <c r="EW292" s="15"/>
      <c r="EX292" s="15"/>
      <c r="EY292" s="15"/>
      <c r="EZ292" s="15"/>
      <c r="FA292" s="15"/>
      <c r="FB292" s="15"/>
      <c r="FC292" s="15"/>
      <c r="FD292" s="15"/>
      <c r="FE292" s="15"/>
      <c r="FF292" s="15"/>
      <c r="FG292" s="15"/>
      <c r="FH292" s="15"/>
      <c r="FI292" s="15"/>
      <c r="FJ292" s="15"/>
      <c r="FK292" s="15"/>
      <c r="FL292" s="15"/>
      <c r="FM292" s="15"/>
      <c r="FN292" s="15"/>
      <c r="FO292" s="15"/>
      <c r="FP292" s="15"/>
      <c r="FQ292" s="15"/>
      <c r="FR292" s="15"/>
      <c r="FS292" s="15"/>
      <c r="FT292" s="15"/>
      <c r="FU292" s="15"/>
      <c r="FV292" s="15"/>
    </row>
    <row r="293" spans="22:178" s="2" customFormat="1">
      <c r="V293" s="15"/>
      <c r="CX293" s="13"/>
      <c r="CY293" s="13"/>
      <c r="CZ293" s="13"/>
      <c r="DA293" s="13"/>
      <c r="DB293" s="13"/>
      <c r="DC293" s="13"/>
      <c r="DD293" s="13"/>
      <c r="DE293" s="13"/>
      <c r="DF293" s="13"/>
      <c r="DG293" s="13"/>
      <c r="DH293" s="13"/>
      <c r="DI293" s="13"/>
      <c r="DJ293" s="13"/>
      <c r="DK293" s="10"/>
      <c r="DL293" s="10"/>
      <c r="DM293" s="10"/>
      <c r="DN293" s="10"/>
      <c r="DO293" s="10"/>
      <c r="DP293" s="10"/>
      <c r="DQ293" s="10"/>
      <c r="DR293" s="10"/>
      <c r="DS293" s="10"/>
      <c r="DT293" s="10"/>
      <c r="DU293" s="10"/>
      <c r="DV293" s="10"/>
      <c r="DW293" s="10"/>
      <c r="DX293" s="10"/>
      <c r="DY293" s="10"/>
      <c r="DZ293" s="10"/>
      <c r="EA293" s="10"/>
      <c r="EB293" s="10"/>
      <c r="EC293" s="10"/>
      <c r="ED293" s="10"/>
      <c r="EE293" s="10"/>
      <c r="EF293" s="10"/>
      <c r="EG293" s="10"/>
      <c r="EH293" s="10"/>
      <c r="EI293" s="15"/>
      <c r="EJ293" s="15"/>
      <c r="EK293" s="15"/>
      <c r="EL293" s="15"/>
      <c r="EM293" s="15"/>
      <c r="EN293" s="15"/>
      <c r="EO293" s="15"/>
      <c r="EP293" s="15"/>
      <c r="EQ293" s="15"/>
      <c r="ER293" s="15"/>
      <c r="ES293" s="15"/>
      <c r="ET293" s="15"/>
      <c r="EU293" s="15"/>
      <c r="EV293" s="15"/>
      <c r="EW293" s="15"/>
      <c r="EX293" s="15"/>
      <c r="EY293" s="15"/>
      <c r="EZ293" s="15"/>
      <c r="FA293" s="15"/>
      <c r="FB293" s="15"/>
      <c r="FC293" s="15"/>
      <c r="FD293" s="15"/>
      <c r="FE293" s="15"/>
      <c r="FF293" s="15"/>
      <c r="FG293" s="15"/>
      <c r="FH293" s="15"/>
      <c r="FI293" s="15"/>
      <c r="FJ293" s="15"/>
      <c r="FK293" s="15"/>
      <c r="FL293" s="15"/>
      <c r="FM293" s="15"/>
      <c r="FN293" s="15"/>
      <c r="FO293" s="15"/>
      <c r="FP293" s="15"/>
      <c r="FQ293" s="15"/>
      <c r="FR293" s="15"/>
      <c r="FS293" s="15"/>
      <c r="FT293" s="15"/>
      <c r="FU293" s="15"/>
      <c r="FV293" s="15"/>
    </row>
    <row r="294" spans="22:178" s="2" customFormat="1">
      <c r="V294" s="15"/>
      <c r="CX294" s="13"/>
      <c r="CY294" s="13"/>
      <c r="CZ294" s="13"/>
      <c r="DA294" s="13"/>
      <c r="DB294" s="13"/>
      <c r="DC294" s="13"/>
      <c r="DD294" s="13"/>
      <c r="DE294" s="13"/>
      <c r="DF294" s="13"/>
      <c r="DG294" s="13"/>
      <c r="DH294" s="13"/>
      <c r="DI294" s="13"/>
      <c r="DJ294" s="13"/>
      <c r="DK294" s="10"/>
      <c r="DL294" s="10"/>
      <c r="DM294" s="10"/>
      <c r="DN294" s="10"/>
      <c r="DO294" s="10"/>
      <c r="DP294" s="10"/>
      <c r="DQ294" s="10"/>
      <c r="DR294" s="10"/>
      <c r="DS294" s="10"/>
      <c r="DT294" s="10"/>
      <c r="DU294" s="10"/>
      <c r="DV294" s="10"/>
      <c r="DW294" s="10"/>
      <c r="DX294" s="10"/>
      <c r="DY294" s="10"/>
      <c r="DZ294" s="10"/>
      <c r="EA294" s="10"/>
      <c r="EB294" s="10"/>
      <c r="EC294" s="10"/>
      <c r="ED294" s="10"/>
      <c r="EE294" s="10"/>
      <c r="EF294" s="10"/>
      <c r="EG294" s="10"/>
      <c r="EH294" s="10"/>
      <c r="EI294" s="15"/>
      <c r="EJ294" s="15"/>
      <c r="EK294" s="15"/>
      <c r="EL294" s="15"/>
      <c r="EM294" s="15"/>
      <c r="EN294" s="15"/>
      <c r="EO294" s="15"/>
      <c r="EP294" s="15"/>
      <c r="EQ294" s="15"/>
      <c r="ER294" s="15"/>
      <c r="ES294" s="15"/>
      <c r="ET294" s="15"/>
      <c r="EU294" s="15"/>
      <c r="EV294" s="15"/>
      <c r="EW294" s="15"/>
      <c r="EX294" s="15"/>
      <c r="EY294" s="15"/>
      <c r="EZ294" s="15"/>
      <c r="FA294" s="15"/>
      <c r="FB294" s="15"/>
      <c r="FC294" s="15"/>
      <c r="FD294" s="15"/>
      <c r="FE294" s="15"/>
      <c r="FF294" s="15"/>
      <c r="FG294" s="15"/>
      <c r="FH294" s="15"/>
      <c r="FI294" s="15"/>
      <c r="FJ294" s="15"/>
      <c r="FK294" s="15"/>
      <c r="FL294" s="15"/>
      <c r="FM294" s="15"/>
      <c r="FN294" s="15"/>
      <c r="FO294" s="15"/>
      <c r="FP294" s="15"/>
      <c r="FQ294" s="15"/>
      <c r="FR294" s="15"/>
      <c r="FS294" s="15"/>
      <c r="FT294" s="15"/>
      <c r="FU294" s="15"/>
      <c r="FV294" s="15"/>
    </row>
    <row r="295" spans="22:178" s="2" customFormat="1">
      <c r="V295" s="15"/>
      <c r="CX295" s="13"/>
      <c r="CY295" s="13"/>
      <c r="CZ295" s="13"/>
      <c r="DA295" s="13"/>
      <c r="DB295" s="13"/>
      <c r="DC295" s="13"/>
      <c r="DD295" s="13"/>
      <c r="DE295" s="13"/>
      <c r="DF295" s="13"/>
      <c r="DG295" s="13"/>
      <c r="DH295" s="13"/>
      <c r="DI295" s="13"/>
      <c r="DJ295" s="13"/>
      <c r="DK295" s="10"/>
      <c r="DL295" s="10"/>
      <c r="DM295" s="10"/>
      <c r="DN295" s="10"/>
      <c r="DO295" s="10"/>
      <c r="DP295" s="10"/>
      <c r="DQ295" s="10"/>
      <c r="DR295" s="10"/>
      <c r="DS295" s="10"/>
      <c r="DT295" s="10"/>
      <c r="DU295" s="10"/>
      <c r="DV295" s="10"/>
      <c r="DW295" s="10"/>
      <c r="DX295" s="10"/>
      <c r="DY295" s="10"/>
      <c r="DZ295" s="10"/>
      <c r="EA295" s="10"/>
      <c r="EB295" s="10"/>
      <c r="EC295" s="10"/>
      <c r="ED295" s="10"/>
      <c r="EE295" s="10"/>
      <c r="EF295" s="10"/>
      <c r="EG295" s="10"/>
      <c r="EH295" s="10"/>
      <c r="EI295" s="15"/>
      <c r="EJ295" s="15"/>
      <c r="EK295" s="15"/>
      <c r="EL295" s="15"/>
      <c r="EM295" s="15"/>
      <c r="EN295" s="15"/>
      <c r="EO295" s="15"/>
      <c r="EP295" s="15"/>
      <c r="EQ295" s="15"/>
      <c r="ER295" s="15"/>
      <c r="ES295" s="15"/>
      <c r="ET295" s="15"/>
      <c r="EU295" s="15"/>
      <c r="EV295" s="15"/>
      <c r="EW295" s="15"/>
      <c r="EX295" s="15"/>
      <c r="EY295" s="15"/>
      <c r="EZ295" s="15"/>
      <c r="FA295" s="15"/>
      <c r="FB295" s="15"/>
      <c r="FC295" s="15"/>
      <c r="FD295" s="15"/>
      <c r="FE295" s="15"/>
      <c r="FF295" s="15"/>
      <c r="FG295" s="15"/>
      <c r="FH295" s="15"/>
      <c r="FI295" s="15"/>
      <c r="FJ295" s="15"/>
      <c r="FK295" s="15"/>
      <c r="FL295" s="15"/>
      <c r="FM295" s="15"/>
      <c r="FN295" s="15"/>
      <c r="FO295" s="15"/>
      <c r="FP295" s="15"/>
      <c r="FQ295" s="15"/>
      <c r="FR295" s="15"/>
      <c r="FS295" s="15"/>
      <c r="FT295" s="15"/>
      <c r="FU295" s="15"/>
      <c r="FV295" s="15"/>
    </row>
    <row r="296" spans="22:178" s="2" customFormat="1">
      <c r="V296" s="15"/>
      <c r="CX296" s="13"/>
      <c r="CY296" s="13"/>
      <c r="CZ296" s="13"/>
      <c r="DA296" s="13"/>
      <c r="DB296" s="13"/>
      <c r="DC296" s="13"/>
      <c r="DD296" s="13"/>
      <c r="DE296" s="13"/>
      <c r="DF296" s="13"/>
      <c r="DG296" s="13"/>
      <c r="DH296" s="13"/>
      <c r="DI296" s="13"/>
      <c r="DJ296" s="13"/>
      <c r="DK296" s="10"/>
      <c r="DL296" s="10"/>
      <c r="DM296" s="10"/>
      <c r="DN296" s="10"/>
      <c r="DO296" s="10"/>
      <c r="DP296" s="10"/>
      <c r="DQ296" s="10"/>
      <c r="DR296" s="10"/>
      <c r="DS296" s="10"/>
      <c r="DT296" s="10"/>
      <c r="DU296" s="10"/>
      <c r="DV296" s="10"/>
      <c r="DW296" s="10"/>
      <c r="DX296" s="10"/>
      <c r="DY296" s="10"/>
      <c r="DZ296" s="10"/>
      <c r="EA296" s="10"/>
      <c r="EB296" s="10"/>
      <c r="EC296" s="10"/>
      <c r="ED296" s="10"/>
      <c r="EE296" s="10"/>
      <c r="EF296" s="10"/>
      <c r="EG296" s="10"/>
      <c r="EH296" s="10"/>
      <c r="EI296" s="15"/>
      <c r="EJ296" s="15"/>
      <c r="EK296" s="15"/>
      <c r="EL296" s="15"/>
      <c r="EM296" s="15"/>
      <c r="EN296" s="15"/>
      <c r="EO296" s="15"/>
      <c r="EP296" s="15"/>
      <c r="EQ296" s="15"/>
      <c r="ER296" s="15"/>
      <c r="ES296" s="15"/>
      <c r="ET296" s="15"/>
      <c r="EU296" s="15"/>
      <c r="EV296" s="15"/>
      <c r="EW296" s="15"/>
      <c r="EX296" s="15"/>
      <c r="EY296" s="15"/>
      <c r="EZ296" s="15"/>
      <c r="FA296" s="15"/>
      <c r="FB296" s="15"/>
      <c r="FC296" s="15"/>
      <c r="FD296" s="15"/>
      <c r="FE296" s="15"/>
      <c r="FF296" s="15"/>
      <c r="FG296" s="15"/>
      <c r="FH296" s="15"/>
      <c r="FI296" s="15"/>
      <c r="FJ296" s="15"/>
      <c r="FK296" s="15"/>
      <c r="FL296" s="15"/>
      <c r="FM296" s="15"/>
      <c r="FN296" s="15"/>
      <c r="FO296" s="15"/>
      <c r="FP296" s="15"/>
      <c r="FQ296" s="15"/>
      <c r="FR296" s="15"/>
      <c r="FS296" s="15"/>
      <c r="FT296" s="15"/>
      <c r="FU296" s="15"/>
      <c r="FV296" s="15"/>
    </row>
    <row r="297" spans="22:178" s="2" customFormat="1">
      <c r="V297" s="15"/>
      <c r="CX297" s="13"/>
      <c r="CY297" s="13"/>
      <c r="CZ297" s="13"/>
      <c r="DA297" s="13"/>
      <c r="DB297" s="13"/>
      <c r="DC297" s="13"/>
      <c r="DD297" s="13"/>
      <c r="DE297" s="13"/>
      <c r="DF297" s="13"/>
      <c r="DG297" s="13"/>
      <c r="DH297" s="13"/>
      <c r="DI297" s="13"/>
      <c r="DJ297" s="13"/>
      <c r="DK297" s="10"/>
      <c r="DL297" s="10"/>
      <c r="DM297" s="10"/>
      <c r="DN297" s="10"/>
      <c r="DO297" s="10"/>
      <c r="DP297" s="10"/>
      <c r="DQ297" s="10"/>
      <c r="DR297" s="10"/>
      <c r="DS297" s="10"/>
      <c r="DT297" s="10"/>
      <c r="DU297" s="10"/>
      <c r="DV297" s="10"/>
      <c r="DW297" s="10"/>
      <c r="DX297" s="10"/>
      <c r="DY297" s="10"/>
      <c r="DZ297" s="10"/>
      <c r="EA297" s="10"/>
      <c r="EB297" s="10"/>
      <c r="EC297" s="10"/>
      <c r="ED297" s="10"/>
      <c r="EE297" s="10"/>
      <c r="EF297" s="10"/>
      <c r="EG297" s="10"/>
      <c r="EH297" s="10"/>
      <c r="EI297" s="15"/>
      <c r="EJ297" s="15"/>
      <c r="EK297" s="15"/>
      <c r="EL297" s="15"/>
      <c r="EM297" s="15"/>
      <c r="EN297" s="15"/>
      <c r="EO297" s="15"/>
      <c r="EP297" s="15"/>
      <c r="EQ297" s="15"/>
      <c r="ER297" s="15"/>
      <c r="ES297" s="15"/>
      <c r="ET297" s="15"/>
      <c r="EU297" s="15"/>
      <c r="EV297" s="15"/>
      <c r="EW297" s="15"/>
      <c r="EX297" s="15"/>
      <c r="EY297" s="15"/>
      <c r="EZ297" s="15"/>
      <c r="FA297" s="15"/>
      <c r="FB297" s="15"/>
      <c r="FC297" s="15"/>
      <c r="FD297" s="15"/>
      <c r="FE297" s="15"/>
      <c r="FF297" s="15"/>
      <c r="FG297" s="15"/>
      <c r="FH297" s="15"/>
      <c r="FI297" s="15"/>
      <c r="FJ297" s="15"/>
      <c r="FK297" s="15"/>
      <c r="FL297" s="15"/>
      <c r="FM297" s="15"/>
      <c r="FN297" s="15"/>
      <c r="FO297" s="15"/>
      <c r="FP297" s="15"/>
      <c r="FQ297" s="15"/>
      <c r="FR297" s="15"/>
      <c r="FS297" s="15"/>
      <c r="FT297" s="15"/>
      <c r="FU297" s="15"/>
      <c r="FV297" s="15"/>
    </row>
    <row r="298" spans="22:178" s="2" customFormat="1">
      <c r="V298" s="15"/>
      <c r="CX298" s="13"/>
      <c r="CY298" s="13"/>
      <c r="CZ298" s="13"/>
      <c r="DA298" s="13"/>
      <c r="DB298" s="13"/>
      <c r="DC298" s="13"/>
      <c r="DD298" s="13"/>
      <c r="DE298" s="13"/>
      <c r="DF298" s="13"/>
      <c r="DG298" s="13"/>
      <c r="DH298" s="13"/>
      <c r="DI298" s="13"/>
      <c r="DJ298" s="13"/>
      <c r="DK298" s="10"/>
      <c r="DL298" s="10"/>
      <c r="DM298" s="10"/>
      <c r="DN298" s="10"/>
      <c r="DO298" s="10"/>
      <c r="DP298" s="10"/>
      <c r="DQ298" s="10"/>
      <c r="DR298" s="10"/>
      <c r="DS298" s="10"/>
      <c r="DT298" s="10"/>
      <c r="DU298" s="10"/>
      <c r="DV298" s="10"/>
      <c r="DW298" s="10"/>
      <c r="DX298" s="10"/>
      <c r="DY298" s="10"/>
      <c r="DZ298" s="10"/>
      <c r="EA298" s="10"/>
      <c r="EB298" s="10"/>
      <c r="EC298" s="10"/>
      <c r="ED298" s="10"/>
      <c r="EE298" s="10"/>
      <c r="EF298" s="10"/>
      <c r="EG298" s="10"/>
      <c r="EH298" s="10"/>
      <c r="EI298" s="15"/>
      <c r="EJ298" s="15"/>
      <c r="EK298" s="15"/>
      <c r="EL298" s="15"/>
      <c r="EM298" s="15"/>
      <c r="EN298" s="15"/>
      <c r="EO298" s="15"/>
      <c r="EP298" s="15"/>
      <c r="EQ298" s="15"/>
      <c r="ER298" s="15"/>
      <c r="ES298" s="15"/>
      <c r="ET298" s="15"/>
      <c r="EU298" s="15"/>
      <c r="EV298" s="15"/>
      <c r="EW298" s="15"/>
      <c r="EX298" s="15"/>
      <c r="EY298" s="15"/>
      <c r="EZ298" s="15"/>
      <c r="FA298" s="15"/>
      <c r="FB298" s="15"/>
      <c r="FC298" s="15"/>
      <c r="FD298" s="15"/>
      <c r="FE298" s="15"/>
      <c r="FF298" s="15"/>
      <c r="FG298" s="15"/>
      <c r="FH298" s="15"/>
      <c r="FI298" s="15"/>
      <c r="FJ298" s="15"/>
      <c r="FK298" s="15"/>
      <c r="FL298" s="15"/>
      <c r="FM298" s="15"/>
      <c r="FN298" s="15"/>
      <c r="FO298" s="15"/>
      <c r="FP298" s="15"/>
      <c r="FQ298" s="15"/>
      <c r="FR298" s="15"/>
      <c r="FS298" s="15"/>
      <c r="FT298" s="15"/>
      <c r="FU298" s="15"/>
      <c r="FV298" s="15"/>
    </row>
    <row r="299" spans="22:178" s="2" customFormat="1">
      <c r="V299" s="15"/>
      <c r="CX299" s="13"/>
      <c r="CY299" s="13"/>
      <c r="CZ299" s="13"/>
      <c r="DA299" s="13"/>
      <c r="DB299" s="13"/>
      <c r="DC299" s="13"/>
      <c r="DD299" s="13"/>
      <c r="DE299" s="13"/>
      <c r="DF299" s="13"/>
      <c r="DG299" s="13"/>
      <c r="DH299" s="13"/>
      <c r="DI299" s="13"/>
      <c r="DJ299" s="13"/>
      <c r="DK299" s="10"/>
      <c r="DL299" s="10"/>
      <c r="DM299" s="10"/>
      <c r="DN299" s="10"/>
      <c r="DO299" s="10"/>
      <c r="DP299" s="10"/>
      <c r="DQ299" s="10"/>
      <c r="DR299" s="10"/>
      <c r="DS299" s="10"/>
      <c r="DT299" s="10"/>
      <c r="DU299" s="10"/>
      <c r="DV299" s="10"/>
      <c r="DW299" s="10"/>
      <c r="DX299" s="10"/>
      <c r="DY299" s="10"/>
      <c r="DZ299" s="10"/>
      <c r="EA299" s="10"/>
      <c r="EB299" s="10"/>
      <c r="EC299" s="10"/>
      <c r="ED299" s="10"/>
      <c r="EE299" s="10"/>
      <c r="EF299" s="10"/>
      <c r="EG299" s="10"/>
      <c r="EH299" s="10"/>
      <c r="EI299" s="15"/>
      <c r="EJ299" s="15"/>
      <c r="EK299" s="15"/>
      <c r="EL299" s="15"/>
      <c r="EM299" s="15"/>
      <c r="EN299" s="15"/>
      <c r="EO299" s="15"/>
      <c r="EP299" s="15"/>
      <c r="EQ299" s="15"/>
      <c r="ER299" s="15"/>
      <c r="ES299" s="15"/>
      <c r="ET299" s="15"/>
      <c r="EU299" s="15"/>
      <c r="EV299" s="15"/>
      <c r="EW299" s="15"/>
      <c r="EX299" s="15"/>
      <c r="EY299" s="15"/>
      <c r="EZ299" s="15"/>
      <c r="FA299" s="15"/>
      <c r="FB299" s="15"/>
      <c r="FC299" s="15"/>
      <c r="FD299" s="15"/>
      <c r="FE299" s="15"/>
      <c r="FF299" s="15"/>
      <c r="FG299" s="15"/>
      <c r="FH299" s="15"/>
      <c r="FI299" s="15"/>
      <c r="FJ299" s="15"/>
      <c r="FK299" s="15"/>
      <c r="FL299" s="15"/>
      <c r="FM299" s="15"/>
      <c r="FN299" s="15"/>
      <c r="FO299" s="15"/>
      <c r="FP299" s="15"/>
      <c r="FQ299" s="15"/>
      <c r="FR299" s="15"/>
      <c r="FS299" s="15"/>
      <c r="FT299" s="15"/>
      <c r="FU299" s="15"/>
      <c r="FV299" s="15"/>
    </row>
    <row r="300" spans="22:178" s="2" customFormat="1">
      <c r="V300" s="15"/>
      <c r="CX300" s="13"/>
      <c r="CY300" s="13"/>
      <c r="CZ300" s="13"/>
      <c r="DA300" s="13"/>
      <c r="DB300" s="13"/>
      <c r="DC300" s="13"/>
      <c r="DD300" s="13"/>
      <c r="DE300" s="13"/>
      <c r="DF300" s="13"/>
      <c r="DG300" s="13"/>
      <c r="DH300" s="13"/>
      <c r="DI300" s="13"/>
      <c r="DJ300" s="13"/>
      <c r="DK300" s="10"/>
      <c r="DL300" s="10"/>
      <c r="DM300" s="10"/>
      <c r="DN300" s="10"/>
      <c r="DO300" s="10"/>
      <c r="DP300" s="10"/>
      <c r="DQ300" s="10"/>
      <c r="DR300" s="10"/>
      <c r="DS300" s="10"/>
      <c r="DT300" s="10"/>
      <c r="DU300" s="10"/>
      <c r="DV300" s="10"/>
      <c r="DW300" s="10"/>
      <c r="DX300" s="10"/>
      <c r="DY300" s="10"/>
      <c r="DZ300" s="10"/>
      <c r="EA300" s="10"/>
      <c r="EB300" s="10"/>
      <c r="EC300" s="10"/>
      <c r="ED300" s="10"/>
      <c r="EE300" s="10"/>
      <c r="EF300" s="10"/>
      <c r="EG300" s="10"/>
      <c r="EH300" s="10"/>
      <c r="EI300" s="15"/>
      <c r="EJ300" s="15"/>
      <c r="EK300" s="15"/>
      <c r="EL300" s="15"/>
      <c r="EM300" s="15"/>
      <c r="EN300" s="15"/>
      <c r="EO300" s="15"/>
      <c r="EP300" s="15"/>
      <c r="EQ300" s="15"/>
      <c r="ER300" s="15"/>
      <c r="ES300" s="15"/>
      <c r="ET300" s="15"/>
      <c r="EU300" s="15"/>
      <c r="EV300" s="15"/>
      <c r="EW300" s="15"/>
      <c r="EX300" s="15"/>
      <c r="EY300" s="15"/>
      <c r="EZ300" s="15"/>
      <c r="FA300" s="15"/>
      <c r="FB300" s="15"/>
      <c r="FC300" s="15"/>
      <c r="FD300" s="15"/>
      <c r="FE300" s="15"/>
      <c r="FF300" s="15"/>
      <c r="FG300" s="15"/>
      <c r="FH300" s="15"/>
      <c r="FI300" s="15"/>
      <c r="FJ300" s="15"/>
      <c r="FK300" s="15"/>
      <c r="FL300" s="15"/>
      <c r="FM300" s="15"/>
      <c r="FN300" s="15"/>
      <c r="FO300" s="15"/>
      <c r="FP300" s="15"/>
      <c r="FQ300" s="15"/>
      <c r="FR300" s="15"/>
      <c r="FS300" s="15"/>
      <c r="FT300" s="15"/>
      <c r="FU300" s="15"/>
      <c r="FV300" s="15"/>
    </row>
    <row r="301" spans="22:178" s="2" customFormat="1">
      <c r="V301" s="15"/>
      <c r="CX301" s="13"/>
      <c r="CY301" s="13"/>
      <c r="CZ301" s="13"/>
      <c r="DA301" s="13"/>
      <c r="DB301" s="13"/>
      <c r="DC301" s="13"/>
      <c r="DD301" s="13"/>
      <c r="DE301" s="13"/>
      <c r="DF301" s="13"/>
      <c r="DG301" s="13"/>
      <c r="DH301" s="13"/>
      <c r="DI301" s="13"/>
      <c r="DJ301" s="13"/>
      <c r="DK301" s="10"/>
      <c r="DL301" s="10"/>
      <c r="DM301" s="10"/>
      <c r="DN301" s="10"/>
      <c r="DO301" s="10"/>
      <c r="DP301" s="10"/>
      <c r="DQ301" s="10"/>
      <c r="DR301" s="10"/>
      <c r="DS301" s="10"/>
      <c r="DT301" s="10"/>
      <c r="DU301" s="10"/>
      <c r="DV301" s="10"/>
      <c r="DW301" s="10"/>
      <c r="DX301" s="10"/>
      <c r="DY301" s="10"/>
      <c r="DZ301" s="10"/>
      <c r="EA301" s="10"/>
      <c r="EB301" s="10"/>
      <c r="EC301" s="10"/>
      <c r="ED301" s="10"/>
      <c r="EE301" s="10"/>
      <c r="EF301" s="10"/>
      <c r="EG301" s="10"/>
      <c r="EH301" s="10"/>
      <c r="EI301" s="15"/>
      <c r="EJ301" s="15"/>
      <c r="EK301" s="15"/>
      <c r="EL301" s="15"/>
      <c r="EM301" s="15"/>
      <c r="EN301" s="15"/>
      <c r="EO301" s="15"/>
      <c r="EP301" s="15"/>
      <c r="EQ301" s="15"/>
      <c r="ER301" s="15"/>
      <c r="ES301" s="15"/>
      <c r="ET301" s="15"/>
      <c r="EU301" s="15"/>
      <c r="EV301" s="15"/>
      <c r="EW301" s="15"/>
      <c r="EX301" s="15"/>
      <c r="EY301" s="15"/>
      <c r="EZ301" s="15"/>
      <c r="FA301" s="15"/>
      <c r="FB301" s="15"/>
      <c r="FC301" s="15"/>
      <c r="FD301" s="15"/>
      <c r="FE301" s="15"/>
      <c r="FF301" s="15"/>
      <c r="FG301" s="15"/>
      <c r="FH301" s="15"/>
      <c r="FI301" s="15"/>
      <c r="FJ301" s="15"/>
      <c r="FK301" s="15"/>
      <c r="FL301" s="15"/>
      <c r="FM301" s="15"/>
      <c r="FN301" s="15"/>
      <c r="FO301" s="15"/>
      <c r="FP301" s="15"/>
      <c r="FQ301" s="15"/>
      <c r="FR301" s="15"/>
      <c r="FS301" s="15"/>
      <c r="FT301" s="15"/>
      <c r="FU301" s="15"/>
      <c r="FV301" s="15"/>
    </row>
    <row r="302" spans="22:178" s="2" customFormat="1">
      <c r="V302" s="15"/>
      <c r="CX302" s="13"/>
      <c r="CY302" s="13"/>
      <c r="CZ302" s="13"/>
      <c r="DA302" s="13"/>
      <c r="DB302" s="13"/>
      <c r="DC302" s="13"/>
      <c r="DD302" s="13"/>
      <c r="DE302" s="13"/>
      <c r="DF302" s="13"/>
      <c r="DG302" s="13"/>
      <c r="DH302" s="13"/>
      <c r="DI302" s="13"/>
      <c r="DJ302" s="13"/>
      <c r="DK302" s="10"/>
      <c r="DL302" s="10"/>
      <c r="DM302" s="10"/>
      <c r="DN302" s="10"/>
      <c r="DO302" s="10"/>
      <c r="DP302" s="10"/>
      <c r="DQ302" s="10"/>
      <c r="DR302" s="10"/>
      <c r="DS302" s="10"/>
      <c r="DT302" s="10"/>
      <c r="DU302" s="10"/>
      <c r="DV302" s="10"/>
      <c r="DW302" s="10"/>
      <c r="DX302" s="10"/>
      <c r="DY302" s="10"/>
      <c r="DZ302" s="10"/>
      <c r="EA302" s="10"/>
      <c r="EB302" s="10"/>
      <c r="EC302" s="10"/>
      <c r="ED302" s="10"/>
      <c r="EE302" s="10"/>
      <c r="EF302" s="10"/>
      <c r="EG302" s="10"/>
      <c r="EH302" s="10"/>
      <c r="EI302" s="15"/>
      <c r="EJ302" s="15"/>
      <c r="EK302" s="15"/>
      <c r="EL302" s="15"/>
      <c r="EM302" s="15"/>
      <c r="EN302" s="15"/>
      <c r="EO302" s="15"/>
      <c r="EP302" s="15"/>
      <c r="EQ302" s="15"/>
      <c r="ER302" s="15"/>
      <c r="ES302" s="15"/>
      <c r="ET302" s="15"/>
      <c r="EU302" s="15"/>
      <c r="EV302" s="15"/>
      <c r="EW302" s="15"/>
      <c r="EX302" s="15"/>
      <c r="EY302" s="15"/>
      <c r="EZ302" s="15"/>
      <c r="FA302" s="15"/>
      <c r="FB302" s="15"/>
      <c r="FC302" s="15"/>
      <c r="FD302" s="15"/>
      <c r="FE302" s="15"/>
      <c r="FF302" s="15"/>
      <c r="FG302" s="15"/>
      <c r="FH302" s="15"/>
      <c r="FI302" s="15"/>
      <c r="FJ302" s="15"/>
      <c r="FK302" s="15"/>
      <c r="FL302" s="15"/>
      <c r="FM302" s="15"/>
      <c r="FN302" s="15"/>
      <c r="FO302" s="15"/>
      <c r="FP302" s="15"/>
      <c r="FQ302" s="15"/>
      <c r="FR302" s="15"/>
      <c r="FS302" s="15"/>
      <c r="FT302" s="15"/>
      <c r="FU302" s="15"/>
      <c r="FV302" s="15"/>
    </row>
    <row r="303" spans="22:178" s="2" customFormat="1">
      <c r="V303" s="15"/>
      <c r="CX303" s="13"/>
      <c r="CY303" s="13"/>
      <c r="CZ303" s="13"/>
      <c r="DA303" s="13"/>
      <c r="DB303" s="13"/>
      <c r="DC303" s="13"/>
      <c r="DD303" s="13"/>
      <c r="DE303" s="13"/>
      <c r="DF303" s="13"/>
      <c r="DG303" s="13"/>
      <c r="DH303" s="13"/>
      <c r="DI303" s="13"/>
      <c r="DJ303" s="13"/>
      <c r="DK303" s="10"/>
      <c r="DL303" s="10"/>
      <c r="DM303" s="10"/>
      <c r="DN303" s="10"/>
      <c r="DO303" s="10"/>
      <c r="DP303" s="10"/>
      <c r="DQ303" s="10"/>
      <c r="DR303" s="10"/>
      <c r="DS303" s="10"/>
      <c r="DT303" s="10"/>
      <c r="DU303" s="10"/>
      <c r="DV303" s="10"/>
      <c r="DW303" s="10"/>
      <c r="DX303" s="10"/>
      <c r="DY303" s="10"/>
      <c r="DZ303" s="10"/>
      <c r="EA303" s="10"/>
      <c r="EB303" s="10"/>
      <c r="EC303" s="10"/>
      <c r="ED303" s="10"/>
      <c r="EE303" s="10"/>
      <c r="EF303" s="10"/>
      <c r="EG303" s="10"/>
      <c r="EH303" s="10"/>
      <c r="EI303" s="15"/>
      <c r="EJ303" s="15"/>
      <c r="EK303" s="15"/>
      <c r="EL303" s="15"/>
      <c r="EM303" s="15"/>
      <c r="EN303" s="15"/>
      <c r="EO303" s="15"/>
      <c r="EP303" s="15"/>
      <c r="EQ303" s="15"/>
      <c r="ER303" s="15"/>
      <c r="ES303" s="15"/>
      <c r="ET303" s="15"/>
      <c r="EU303" s="15"/>
      <c r="EV303" s="15"/>
      <c r="EW303" s="15"/>
      <c r="EX303" s="15"/>
      <c r="EY303" s="15"/>
      <c r="EZ303" s="15"/>
      <c r="FA303" s="15"/>
      <c r="FB303" s="15"/>
      <c r="FC303" s="15"/>
      <c r="FD303" s="15"/>
      <c r="FE303" s="15"/>
      <c r="FF303" s="15"/>
      <c r="FG303" s="15"/>
      <c r="FH303" s="15"/>
      <c r="FI303" s="15"/>
      <c r="FJ303" s="15"/>
      <c r="FK303" s="15"/>
      <c r="FL303" s="15"/>
      <c r="FM303" s="15"/>
      <c r="FN303" s="15"/>
      <c r="FO303" s="15"/>
      <c r="FP303" s="15"/>
      <c r="FQ303" s="15"/>
      <c r="FR303" s="15"/>
      <c r="FS303" s="15"/>
      <c r="FT303" s="15"/>
      <c r="FU303" s="15"/>
      <c r="FV303" s="15"/>
    </row>
    <row r="304" spans="22:178" s="2" customFormat="1">
      <c r="V304" s="15"/>
      <c r="CX304" s="13"/>
      <c r="CY304" s="13"/>
      <c r="CZ304" s="13"/>
      <c r="DA304" s="13"/>
      <c r="DB304" s="13"/>
      <c r="DC304" s="13"/>
      <c r="DD304" s="13"/>
      <c r="DE304" s="13"/>
      <c r="DF304" s="13"/>
      <c r="DG304" s="13"/>
      <c r="DH304" s="13"/>
      <c r="DI304" s="13"/>
      <c r="DJ304" s="13"/>
      <c r="DK304" s="10"/>
      <c r="DL304" s="10"/>
      <c r="DM304" s="10"/>
      <c r="DN304" s="10"/>
      <c r="DO304" s="10"/>
      <c r="DP304" s="10"/>
      <c r="DQ304" s="10"/>
      <c r="DR304" s="10"/>
      <c r="DS304" s="10"/>
      <c r="DT304" s="10"/>
      <c r="DU304" s="10"/>
      <c r="DV304" s="10"/>
      <c r="DW304" s="10"/>
      <c r="DX304" s="10"/>
      <c r="DY304" s="10"/>
      <c r="DZ304" s="10"/>
      <c r="EA304" s="10"/>
      <c r="EB304" s="10"/>
      <c r="EC304" s="10"/>
      <c r="ED304" s="10"/>
      <c r="EE304" s="10"/>
      <c r="EF304" s="10"/>
      <c r="EG304" s="10"/>
      <c r="EH304" s="10"/>
      <c r="EI304" s="15"/>
      <c r="EJ304" s="15"/>
      <c r="EK304" s="15"/>
      <c r="EL304" s="15"/>
      <c r="EM304" s="15"/>
      <c r="EN304" s="15"/>
      <c r="EO304" s="15"/>
      <c r="EP304" s="15"/>
      <c r="EQ304" s="15"/>
      <c r="ER304" s="15"/>
      <c r="ES304" s="15"/>
      <c r="ET304" s="15"/>
      <c r="EU304" s="15"/>
      <c r="EV304" s="15"/>
      <c r="EW304" s="15"/>
      <c r="EX304" s="15"/>
      <c r="EY304" s="15"/>
      <c r="EZ304" s="15"/>
      <c r="FA304" s="15"/>
      <c r="FB304" s="15"/>
      <c r="FC304" s="15"/>
      <c r="FD304" s="15"/>
      <c r="FE304" s="15"/>
      <c r="FF304" s="15"/>
      <c r="FG304" s="15"/>
      <c r="FH304" s="15"/>
      <c r="FI304" s="15"/>
      <c r="FJ304" s="15"/>
      <c r="FK304" s="15"/>
      <c r="FL304" s="15"/>
      <c r="FM304" s="15"/>
      <c r="FN304" s="15"/>
      <c r="FO304" s="15"/>
      <c r="FP304" s="15"/>
      <c r="FQ304" s="15"/>
      <c r="FR304" s="15"/>
      <c r="FS304" s="15"/>
      <c r="FT304" s="15"/>
      <c r="FU304" s="15"/>
      <c r="FV304" s="15"/>
    </row>
    <row r="305" spans="22:178" s="2" customFormat="1">
      <c r="V305" s="15"/>
      <c r="CX305" s="13"/>
      <c r="CY305" s="13"/>
      <c r="CZ305" s="13"/>
      <c r="DA305" s="13"/>
      <c r="DB305" s="13"/>
      <c r="DC305" s="13"/>
      <c r="DD305" s="13"/>
      <c r="DE305" s="13"/>
      <c r="DF305" s="13"/>
      <c r="DG305" s="13"/>
      <c r="DH305" s="13"/>
      <c r="DI305" s="13"/>
      <c r="DJ305" s="13"/>
      <c r="DK305" s="10"/>
      <c r="DL305" s="10"/>
      <c r="DM305" s="10"/>
      <c r="DN305" s="10"/>
      <c r="DO305" s="10"/>
      <c r="DP305" s="10"/>
      <c r="DQ305" s="10"/>
      <c r="DR305" s="10"/>
      <c r="DS305" s="10"/>
      <c r="DT305" s="10"/>
      <c r="DU305" s="10"/>
      <c r="DV305" s="10"/>
      <c r="DW305" s="10"/>
      <c r="DX305" s="10"/>
      <c r="DY305" s="10"/>
      <c r="DZ305" s="10"/>
      <c r="EA305" s="10"/>
      <c r="EB305" s="10"/>
      <c r="EC305" s="10"/>
      <c r="ED305" s="10"/>
      <c r="EE305" s="10"/>
      <c r="EF305" s="10"/>
      <c r="EG305" s="10"/>
      <c r="EH305" s="10"/>
      <c r="EI305" s="15"/>
      <c r="EJ305" s="15"/>
      <c r="EK305" s="15"/>
      <c r="EL305" s="15"/>
      <c r="EM305" s="15"/>
      <c r="EN305" s="15"/>
      <c r="EO305" s="15"/>
      <c r="EP305" s="15"/>
      <c r="EQ305" s="15"/>
      <c r="ER305" s="15"/>
      <c r="ES305" s="15"/>
      <c r="ET305" s="15"/>
      <c r="EU305" s="15"/>
      <c r="EV305" s="15"/>
      <c r="EW305" s="15"/>
      <c r="EX305" s="15"/>
      <c r="EY305" s="15"/>
      <c r="EZ305" s="15"/>
      <c r="FA305" s="15"/>
      <c r="FB305" s="15"/>
      <c r="FC305" s="15"/>
      <c r="FD305" s="15"/>
      <c r="FE305" s="15"/>
      <c r="FF305" s="15"/>
      <c r="FG305" s="15"/>
      <c r="FH305" s="15"/>
      <c r="FI305" s="15"/>
      <c r="FJ305" s="15"/>
      <c r="FK305" s="15"/>
      <c r="FL305" s="15"/>
      <c r="FM305" s="15"/>
      <c r="FN305" s="15"/>
      <c r="FO305" s="15"/>
      <c r="FP305" s="15"/>
      <c r="FQ305" s="15"/>
      <c r="FR305" s="15"/>
      <c r="FS305" s="15"/>
      <c r="FT305" s="15"/>
      <c r="FU305" s="15"/>
      <c r="FV305" s="15"/>
    </row>
    <row r="306" spans="22:178" s="2" customFormat="1">
      <c r="V306" s="15"/>
      <c r="CX306" s="13"/>
      <c r="CY306" s="13"/>
      <c r="CZ306" s="13"/>
      <c r="DA306" s="13"/>
      <c r="DB306" s="13"/>
      <c r="DC306" s="13"/>
      <c r="DD306" s="13"/>
      <c r="DE306" s="13"/>
      <c r="DF306" s="13"/>
      <c r="DG306" s="13"/>
      <c r="DH306" s="13"/>
      <c r="DI306" s="13"/>
      <c r="DJ306" s="13"/>
      <c r="DK306" s="10"/>
      <c r="DL306" s="10"/>
      <c r="DM306" s="10"/>
      <c r="DN306" s="10"/>
      <c r="DO306" s="10"/>
      <c r="DP306" s="10"/>
      <c r="DQ306" s="10"/>
      <c r="DR306" s="10"/>
      <c r="DS306" s="10"/>
      <c r="DT306" s="10"/>
      <c r="DU306" s="10"/>
      <c r="DV306" s="10"/>
      <c r="DW306" s="10"/>
      <c r="DX306" s="10"/>
      <c r="DY306" s="10"/>
      <c r="DZ306" s="10"/>
      <c r="EA306" s="10"/>
      <c r="EB306" s="10"/>
      <c r="EC306" s="10"/>
      <c r="ED306" s="10"/>
      <c r="EE306" s="10"/>
      <c r="EF306" s="10"/>
      <c r="EG306" s="10"/>
      <c r="EH306" s="10"/>
      <c r="EI306" s="15"/>
      <c r="EJ306" s="15"/>
      <c r="EK306" s="15"/>
      <c r="EL306" s="15"/>
      <c r="EM306" s="15"/>
      <c r="EN306" s="15"/>
      <c r="EO306" s="15"/>
      <c r="EP306" s="15"/>
      <c r="EQ306" s="15"/>
      <c r="ER306" s="15"/>
      <c r="ES306" s="15"/>
      <c r="ET306" s="15"/>
      <c r="EU306" s="15"/>
      <c r="EV306" s="15"/>
      <c r="EW306" s="15"/>
      <c r="EX306" s="15"/>
      <c r="EY306" s="15"/>
      <c r="EZ306" s="15"/>
      <c r="FA306" s="15"/>
      <c r="FB306" s="15"/>
      <c r="FC306" s="15"/>
      <c r="FD306" s="15"/>
      <c r="FE306" s="15"/>
      <c r="FF306" s="15"/>
      <c r="FG306" s="15"/>
      <c r="FH306" s="15"/>
      <c r="FI306" s="15"/>
      <c r="FJ306" s="15"/>
      <c r="FK306" s="15"/>
      <c r="FL306" s="15"/>
      <c r="FM306" s="15"/>
      <c r="FN306" s="15"/>
      <c r="FO306" s="15"/>
      <c r="FP306" s="15"/>
      <c r="FQ306" s="15"/>
      <c r="FR306" s="15"/>
      <c r="FS306" s="15"/>
      <c r="FT306" s="15"/>
      <c r="FU306" s="15"/>
      <c r="FV306" s="15"/>
    </row>
    <row r="307" spans="22:178" s="2" customFormat="1">
      <c r="V307" s="15"/>
      <c r="CX307" s="13"/>
      <c r="CY307" s="13"/>
      <c r="CZ307" s="13"/>
      <c r="DA307" s="13"/>
      <c r="DB307" s="13"/>
      <c r="DC307" s="13"/>
      <c r="DD307" s="13"/>
      <c r="DE307" s="13"/>
      <c r="DF307" s="13"/>
      <c r="DG307" s="13"/>
      <c r="DH307" s="13"/>
      <c r="DI307" s="13"/>
      <c r="DJ307" s="13"/>
      <c r="DK307" s="10"/>
      <c r="DL307" s="10"/>
      <c r="DM307" s="10"/>
      <c r="DN307" s="10"/>
      <c r="DO307" s="10"/>
      <c r="DP307" s="10"/>
      <c r="DQ307" s="10"/>
      <c r="DR307" s="10"/>
      <c r="DS307" s="10"/>
      <c r="DT307" s="10"/>
      <c r="DU307" s="10"/>
      <c r="DV307" s="10"/>
      <c r="DW307" s="10"/>
      <c r="DX307" s="10"/>
      <c r="DY307" s="10"/>
      <c r="DZ307" s="10"/>
      <c r="EA307" s="10"/>
      <c r="EB307" s="10"/>
      <c r="EC307" s="10"/>
      <c r="ED307" s="10"/>
      <c r="EE307" s="10"/>
      <c r="EF307" s="10"/>
      <c r="EG307" s="10"/>
      <c r="EH307" s="10"/>
      <c r="EI307" s="15"/>
      <c r="EJ307" s="15"/>
      <c r="EK307" s="15"/>
      <c r="EL307" s="15"/>
      <c r="EM307" s="15"/>
      <c r="EN307" s="15"/>
      <c r="EO307" s="15"/>
      <c r="EP307" s="15"/>
      <c r="EQ307" s="15"/>
      <c r="ER307" s="15"/>
      <c r="ES307" s="15"/>
      <c r="ET307" s="15"/>
      <c r="EU307" s="15"/>
      <c r="EV307" s="15"/>
      <c r="EW307" s="15"/>
      <c r="EX307" s="15"/>
      <c r="EY307" s="15"/>
      <c r="EZ307" s="15"/>
      <c r="FA307" s="15"/>
      <c r="FB307" s="15"/>
      <c r="FC307" s="15"/>
      <c r="FD307" s="15"/>
      <c r="FE307" s="15"/>
      <c r="FF307" s="15"/>
      <c r="FG307" s="15"/>
      <c r="FH307" s="15"/>
      <c r="FI307" s="15"/>
      <c r="FJ307" s="15"/>
      <c r="FK307" s="15"/>
      <c r="FL307" s="15"/>
      <c r="FM307" s="15"/>
      <c r="FN307" s="15"/>
      <c r="FO307" s="15"/>
      <c r="FP307" s="15"/>
      <c r="FQ307" s="15"/>
      <c r="FR307" s="15"/>
      <c r="FS307" s="15"/>
      <c r="FT307" s="15"/>
      <c r="FU307" s="15"/>
      <c r="FV307" s="15"/>
    </row>
    <row r="308" spans="22:178" s="2" customFormat="1">
      <c r="V308" s="15"/>
      <c r="CX308" s="13"/>
      <c r="CY308" s="13"/>
      <c r="CZ308" s="13"/>
      <c r="DA308" s="13"/>
      <c r="DB308" s="13"/>
      <c r="DC308" s="13"/>
      <c r="DD308" s="13"/>
      <c r="DE308" s="13"/>
      <c r="DF308" s="13"/>
      <c r="DG308" s="13"/>
      <c r="DH308" s="13"/>
      <c r="DI308" s="13"/>
      <c r="DJ308" s="13"/>
      <c r="DK308" s="10"/>
      <c r="DL308" s="10"/>
      <c r="DM308" s="10"/>
      <c r="DN308" s="10"/>
      <c r="DO308" s="10"/>
      <c r="DP308" s="10"/>
      <c r="DQ308" s="10"/>
      <c r="DR308" s="10"/>
      <c r="DS308" s="10"/>
      <c r="DT308" s="10"/>
      <c r="DU308" s="10"/>
      <c r="DV308" s="10"/>
      <c r="DW308" s="10"/>
      <c r="DX308" s="10"/>
      <c r="DY308" s="10"/>
      <c r="DZ308" s="10"/>
      <c r="EA308" s="10"/>
      <c r="EB308" s="10"/>
      <c r="EC308" s="10"/>
      <c r="ED308" s="10"/>
      <c r="EE308" s="10"/>
      <c r="EF308" s="10"/>
      <c r="EG308" s="10"/>
      <c r="EH308" s="10"/>
      <c r="EI308" s="15"/>
      <c r="EJ308" s="15"/>
      <c r="EK308" s="15"/>
      <c r="EL308" s="15"/>
      <c r="EM308" s="15"/>
      <c r="EN308" s="15"/>
      <c r="EO308" s="15"/>
      <c r="EP308" s="15"/>
      <c r="EQ308" s="15"/>
      <c r="ER308" s="15"/>
      <c r="ES308" s="15"/>
      <c r="ET308" s="15"/>
      <c r="EU308" s="15"/>
      <c r="EV308" s="15"/>
      <c r="EW308" s="15"/>
      <c r="EX308" s="15"/>
      <c r="EY308" s="15"/>
      <c r="EZ308" s="15"/>
      <c r="FA308" s="15"/>
      <c r="FB308" s="15"/>
      <c r="FC308" s="15"/>
      <c r="FD308" s="15"/>
      <c r="FE308" s="15"/>
      <c r="FF308" s="15"/>
      <c r="FG308" s="15"/>
      <c r="FH308" s="15"/>
      <c r="FI308" s="15"/>
      <c r="FJ308" s="15"/>
      <c r="FK308" s="15"/>
      <c r="FL308" s="15"/>
      <c r="FM308" s="15"/>
      <c r="FN308" s="15"/>
      <c r="FO308" s="15"/>
      <c r="FP308" s="15"/>
      <c r="FQ308" s="15"/>
      <c r="FR308" s="15"/>
      <c r="FS308" s="15"/>
      <c r="FT308" s="15"/>
      <c r="FU308" s="15"/>
      <c r="FV308" s="15"/>
    </row>
    <row r="309" spans="22:178" s="2" customFormat="1">
      <c r="V309" s="15"/>
      <c r="CX309" s="13"/>
      <c r="CY309" s="13"/>
      <c r="CZ309" s="13"/>
      <c r="DA309" s="13"/>
      <c r="DB309" s="13"/>
      <c r="DC309" s="13"/>
      <c r="DD309" s="13"/>
      <c r="DE309" s="13"/>
      <c r="DF309" s="13"/>
      <c r="DG309" s="13"/>
      <c r="DH309" s="13"/>
      <c r="DI309" s="13"/>
      <c r="DJ309" s="13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10"/>
      <c r="DZ309" s="10"/>
      <c r="EA309" s="10"/>
      <c r="EB309" s="10"/>
      <c r="EC309" s="10"/>
      <c r="ED309" s="10"/>
      <c r="EE309" s="10"/>
      <c r="EF309" s="10"/>
      <c r="EG309" s="10"/>
      <c r="EH309" s="10"/>
      <c r="EI309" s="15"/>
      <c r="EJ309" s="15"/>
      <c r="EK309" s="15"/>
      <c r="EL309" s="15"/>
      <c r="EM309" s="15"/>
      <c r="EN309" s="15"/>
      <c r="EO309" s="15"/>
      <c r="EP309" s="15"/>
      <c r="EQ309" s="15"/>
      <c r="ER309" s="15"/>
      <c r="ES309" s="15"/>
      <c r="ET309" s="15"/>
      <c r="EU309" s="15"/>
      <c r="EV309" s="15"/>
      <c r="EW309" s="15"/>
      <c r="EX309" s="15"/>
      <c r="EY309" s="15"/>
      <c r="EZ309" s="15"/>
      <c r="FA309" s="15"/>
      <c r="FB309" s="15"/>
      <c r="FC309" s="15"/>
      <c r="FD309" s="15"/>
      <c r="FE309" s="15"/>
      <c r="FF309" s="15"/>
      <c r="FG309" s="15"/>
      <c r="FH309" s="15"/>
      <c r="FI309" s="15"/>
      <c r="FJ309" s="15"/>
      <c r="FK309" s="15"/>
      <c r="FL309" s="15"/>
      <c r="FM309" s="15"/>
      <c r="FN309" s="15"/>
      <c r="FO309" s="15"/>
      <c r="FP309" s="15"/>
      <c r="FQ309" s="15"/>
      <c r="FR309" s="15"/>
      <c r="FS309" s="15"/>
      <c r="FT309" s="15"/>
      <c r="FU309" s="15"/>
      <c r="FV309" s="15"/>
    </row>
    <row r="310" spans="22:178" s="2" customFormat="1">
      <c r="V310" s="15"/>
      <c r="CX310" s="13"/>
      <c r="CY310" s="13"/>
      <c r="CZ310" s="13"/>
      <c r="DA310" s="13"/>
      <c r="DB310" s="13"/>
      <c r="DC310" s="13"/>
      <c r="DD310" s="13"/>
      <c r="DE310" s="13"/>
      <c r="DF310" s="13"/>
      <c r="DG310" s="13"/>
      <c r="DH310" s="13"/>
      <c r="DI310" s="13"/>
      <c r="DJ310" s="13"/>
      <c r="DK310" s="10"/>
      <c r="DL310" s="10"/>
      <c r="DM310" s="10"/>
      <c r="DN310" s="10"/>
      <c r="DO310" s="10"/>
      <c r="DP310" s="10"/>
      <c r="DQ310" s="10"/>
      <c r="DR310" s="10"/>
      <c r="DS310" s="10"/>
      <c r="DT310" s="10"/>
      <c r="DU310" s="10"/>
      <c r="DV310" s="10"/>
      <c r="DW310" s="10"/>
      <c r="DX310" s="10"/>
      <c r="DY310" s="10"/>
      <c r="DZ310" s="10"/>
      <c r="EA310" s="10"/>
      <c r="EB310" s="10"/>
      <c r="EC310" s="10"/>
      <c r="ED310" s="10"/>
      <c r="EE310" s="10"/>
      <c r="EF310" s="10"/>
      <c r="EG310" s="10"/>
      <c r="EH310" s="10"/>
      <c r="EI310" s="15"/>
      <c r="EJ310" s="15"/>
      <c r="EK310" s="15"/>
      <c r="EL310" s="15"/>
      <c r="EM310" s="15"/>
      <c r="EN310" s="15"/>
      <c r="EO310" s="15"/>
      <c r="EP310" s="15"/>
      <c r="EQ310" s="15"/>
      <c r="ER310" s="15"/>
      <c r="ES310" s="15"/>
      <c r="ET310" s="15"/>
      <c r="EU310" s="15"/>
      <c r="EV310" s="15"/>
      <c r="EW310" s="15"/>
      <c r="EX310" s="15"/>
      <c r="EY310" s="15"/>
      <c r="EZ310" s="15"/>
      <c r="FA310" s="15"/>
      <c r="FB310" s="15"/>
      <c r="FC310" s="15"/>
      <c r="FD310" s="15"/>
      <c r="FE310" s="15"/>
      <c r="FF310" s="15"/>
      <c r="FG310" s="15"/>
      <c r="FH310" s="15"/>
      <c r="FI310" s="15"/>
      <c r="FJ310" s="15"/>
      <c r="FK310" s="15"/>
      <c r="FL310" s="15"/>
      <c r="FM310" s="15"/>
      <c r="FN310" s="15"/>
      <c r="FO310" s="15"/>
      <c r="FP310" s="15"/>
      <c r="FQ310" s="15"/>
      <c r="FR310" s="15"/>
      <c r="FS310" s="15"/>
      <c r="FT310" s="15"/>
      <c r="FU310" s="15"/>
      <c r="FV310" s="15"/>
    </row>
    <row r="311" spans="22:178" s="2" customFormat="1">
      <c r="V311" s="15"/>
      <c r="CX311" s="13"/>
      <c r="CY311" s="13"/>
      <c r="CZ311" s="13"/>
      <c r="DA311" s="13"/>
      <c r="DB311" s="13"/>
      <c r="DC311" s="13"/>
      <c r="DD311" s="13"/>
      <c r="DE311" s="13"/>
      <c r="DF311" s="13"/>
      <c r="DG311" s="13"/>
      <c r="DH311" s="13"/>
      <c r="DI311" s="13"/>
      <c r="DJ311" s="13"/>
      <c r="DK311" s="10"/>
      <c r="DL311" s="10"/>
      <c r="DM311" s="10"/>
      <c r="DN311" s="10"/>
      <c r="DO311" s="10"/>
      <c r="DP311" s="10"/>
      <c r="DQ311" s="10"/>
      <c r="DR311" s="10"/>
      <c r="DS311" s="10"/>
      <c r="DT311" s="10"/>
      <c r="DU311" s="10"/>
      <c r="DV311" s="10"/>
      <c r="DW311" s="10"/>
      <c r="DX311" s="10"/>
      <c r="DY311" s="10"/>
      <c r="DZ311" s="10"/>
      <c r="EA311" s="10"/>
      <c r="EB311" s="10"/>
      <c r="EC311" s="10"/>
      <c r="ED311" s="10"/>
      <c r="EE311" s="10"/>
      <c r="EF311" s="10"/>
      <c r="EG311" s="10"/>
      <c r="EH311" s="10"/>
      <c r="EI311" s="15"/>
      <c r="EJ311" s="15"/>
      <c r="EK311" s="15"/>
      <c r="EL311" s="15"/>
      <c r="EM311" s="15"/>
      <c r="EN311" s="15"/>
      <c r="EO311" s="15"/>
      <c r="EP311" s="15"/>
      <c r="EQ311" s="15"/>
      <c r="ER311" s="15"/>
      <c r="ES311" s="15"/>
      <c r="ET311" s="15"/>
      <c r="EU311" s="15"/>
      <c r="EV311" s="15"/>
      <c r="EW311" s="15"/>
      <c r="EX311" s="15"/>
      <c r="EY311" s="15"/>
      <c r="EZ311" s="15"/>
      <c r="FA311" s="15"/>
      <c r="FB311" s="15"/>
      <c r="FC311" s="15"/>
      <c r="FD311" s="15"/>
      <c r="FE311" s="15"/>
      <c r="FF311" s="15"/>
      <c r="FG311" s="15"/>
      <c r="FH311" s="15"/>
      <c r="FI311" s="15"/>
      <c r="FJ311" s="15"/>
      <c r="FK311" s="15"/>
      <c r="FL311" s="15"/>
      <c r="FM311" s="15"/>
      <c r="FN311" s="15"/>
      <c r="FO311" s="15"/>
      <c r="FP311" s="15"/>
      <c r="FQ311" s="15"/>
      <c r="FR311" s="15"/>
      <c r="FS311" s="15"/>
      <c r="FT311" s="15"/>
      <c r="FU311" s="15"/>
      <c r="FV311" s="15"/>
    </row>
    <row r="312" spans="22:178" s="2" customFormat="1">
      <c r="V312" s="15"/>
      <c r="CX312" s="13"/>
      <c r="CY312" s="13"/>
      <c r="CZ312" s="13"/>
      <c r="DA312" s="13"/>
      <c r="DB312" s="13"/>
      <c r="DC312" s="13"/>
      <c r="DD312" s="13"/>
      <c r="DE312" s="13"/>
      <c r="DF312" s="13"/>
      <c r="DG312" s="13"/>
      <c r="DH312" s="13"/>
      <c r="DI312" s="13"/>
      <c r="DJ312" s="13"/>
      <c r="DK312" s="10"/>
      <c r="DL312" s="10"/>
      <c r="DM312" s="10"/>
      <c r="DN312" s="10"/>
      <c r="DO312" s="10"/>
      <c r="DP312" s="10"/>
      <c r="DQ312" s="10"/>
      <c r="DR312" s="10"/>
      <c r="DS312" s="10"/>
      <c r="DT312" s="10"/>
      <c r="DU312" s="10"/>
      <c r="DV312" s="10"/>
      <c r="DW312" s="10"/>
      <c r="DX312" s="10"/>
      <c r="DY312" s="10"/>
      <c r="DZ312" s="10"/>
      <c r="EA312" s="10"/>
      <c r="EB312" s="10"/>
      <c r="EC312" s="10"/>
      <c r="ED312" s="10"/>
      <c r="EE312" s="10"/>
      <c r="EF312" s="10"/>
      <c r="EG312" s="10"/>
      <c r="EH312" s="10"/>
      <c r="EI312" s="15"/>
      <c r="EJ312" s="15"/>
      <c r="EK312" s="15"/>
      <c r="EL312" s="15"/>
      <c r="EM312" s="15"/>
      <c r="EN312" s="15"/>
      <c r="EO312" s="15"/>
      <c r="EP312" s="15"/>
      <c r="EQ312" s="15"/>
      <c r="ER312" s="15"/>
      <c r="ES312" s="15"/>
      <c r="ET312" s="15"/>
      <c r="EU312" s="15"/>
      <c r="EV312" s="15"/>
      <c r="EW312" s="15"/>
      <c r="EX312" s="15"/>
      <c r="EY312" s="15"/>
      <c r="EZ312" s="15"/>
      <c r="FA312" s="15"/>
      <c r="FB312" s="15"/>
      <c r="FC312" s="15"/>
      <c r="FD312" s="15"/>
      <c r="FE312" s="15"/>
      <c r="FF312" s="15"/>
      <c r="FG312" s="15"/>
      <c r="FH312" s="15"/>
      <c r="FI312" s="15"/>
      <c r="FJ312" s="15"/>
      <c r="FK312" s="15"/>
      <c r="FL312" s="15"/>
      <c r="FM312" s="15"/>
      <c r="FN312" s="15"/>
      <c r="FO312" s="15"/>
      <c r="FP312" s="15"/>
      <c r="FQ312" s="15"/>
      <c r="FR312" s="15"/>
      <c r="FS312" s="15"/>
      <c r="FT312" s="15"/>
      <c r="FU312" s="15"/>
      <c r="FV312" s="15"/>
    </row>
    <row r="313" spans="22:178" s="2" customFormat="1">
      <c r="V313" s="15"/>
      <c r="CX313" s="13"/>
      <c r="CY313" s="13"/>
      <c r="CZ313" s="13"/>
      <c r="DA313" s="13"/>
      <c r="DB313" s="13"/>
      <c r="DC313" s="13"/>
      <c r="DD313" s="13"/>
      <c r="DE313" s="13"/>
      <c r="DF313" s="13"/>
      <c r="DG313" s="13"/>
      <c r="DH313" s="13"/>
      <c r="DI313" s="13"/>
      <c r="DJ313" s="13"/>
      <c r="DK313" s="10"/>
      <c r="DL313" s="10"/>
      <c r="DM313" s="10"/>
      <c r="DN313" s="10"/>
      <c r="DO313" s="10"/>
      <c r="DP313" s="10"/>
      <c r="DQ313" s="10"/>
      <c r="DR313" s="10"/>
      <c r="DS313" s="10"/>
      <c r="DT313" s="10"/>
      <c r="DU313" s="10"/>
      <c r="DV313" s="10"/>
      <c r="DW313" s="10"/>
      <c r="DX313" s="10"/>
      <c r="DY313" s="10"/>
      <c r="DZ313" s="10"/>
      <c r="EA313" s="10"/>
      <c r="EB313" s="10"/>
      <c r="EC313" s="10"/>
      <c r="ED313" s="10"/>
      <c r="EE313" s="10"/>
      <c r="EF313" s="10"/>
      <c r="EG313" s="10"/>
      <c r="EH313" s="10"/>
      <c r="EI313" s="15"/>
      <c r="EJ313" s="15"/>
      <c r="EK313" s="15"/>
      <c r="EL313" s="15"/>
      <c r="EM313" s="15"/>
      <c r="EN313" s="15"/>
      <c r="EO313" s="15"/>
      <c r="EP313" s="15"/>
      <c r="EQ313" s="15"/>
      <c r="ER313" s="15"/>
      <c r="ES313" s="15"/>
      <c r="ET313" s="15"/>
      <c r="EU313" s="15"/>
      <c r="EV313" s="15"/>
      <c r="EW313" s="15"/>
      <c r="EX313" s="15"/>
      <c r="EY313" s="15"/>
      <c r="EZ313" s="15"/>
      <c r="FA313" s="15"/>
      <c r="FB313" s="15"/>
      <c r="FC313" s="15"/>
      <c r="FD313" s="15"/>
      <c r="FE313" s="15"/>
      <c r="FF313" s="15"/>
      <c r="FG313" s="15"/>
      <c r="FH313" s="15"/>
      <c r="FI313" s="15"/>
      <c r="FJ313" s="15"/>
      <c r="FK313" s="15"/>
      <c r="FL313" s="15"/>
      <c r="FM313" s="15"/>
      <c r="FN313" s="15"/>
      <c r="FO313" s="15"/>
      <c r="FP313" s="15"/>
      <c r="FQ313" s="15"/>
      <c r="FR313" s="15"/>
      <c r="FS313" s="15"/>
      <c r="FT313" s="15"/>
      <c r="FU313" s="15"/>
      <c r="FV313" s="15"/>
    </row>
    <row r="314" spans="22:178" s="2" customFormat="1">
      <c r="V314" s="15"/>
      <c r="CX314" s="13"/>
      <c r="CY314" s="13"/>
      <c r="CZ314" s="13"/>
      <c r="DA314" s="13"/>
      <c r="DB314" s="13"/>
      <c r="DC314" s="13"/>
      <c r="DD314" s="13"/>
      <c r="DE314" s="13"/>
      <c r="DF314" s="13"/>
      <c r="DG314" s="13"/>
      <c r="DH314" s="13"/>
      <c r="DI314" s="13"/>
      <c r="DJ314" s="13"/>
      <c r="DK314" s="10"/>
      <c r="DL314" s="10"/>
      <c r="DM314" s="10"/>
      <c r="DN314" s="10"/>
      <c r="DO314" s="10"/>
      <c r="DP314" s="10"/>
      <c r="DQ314" s="10"/>
      <c r="DR314" s="10"/>
      <c r="DS314" s="10"/>
      <c r="DT314" s="10"/>
      <c r="DU314" s="10"/>
      <c r="DV314" s="10"/>
      <c r="DW314" s="10"/>
      <c r="DX314" s="10"/>
      <c r="DY314" s="10"/>
      <c r="DZ314" s="10"/>
      <c r="EA314" s="10"/>
      <c r="EB314" s="10"/>
      <c r="EC314" s="10"/>
      <c r="ED314" s="10"/>
      <c r="EE314" s="10"/>
      <c r="EF314" s="10"/>
      <c r="EG314" s="10"/>
      <c r="EH314" s="10"/>
      <c r="EI314" s="15"/>
      <c r="EJ314" s="15"/>
      <c r="EK314" s="15"/>
      <c r="EL314" s="15"/>
      <c r="EM314" s="15"/>
      <c r="EN314" s="15"/>
      <c r="EO314" s="15"/>
      <c r="EP314" s="15"/>
      <c r="EQ314" s="15"/>
      <c r="ER314" s="15"/>
      <c r="ES314" s="15"/>
      <c r="ET314" s="15"/>
      <c r="EU314" s="15"/>
      <c r="EV314" s="15"/>
      <c r="EW314" s="15"/>
      <c r="EX314" s="15"/>
      <c r="EY314" s="15"/>
      <c r="EZ314" s="15"/>
      <c r="FA314" s="15"/>
      <c r="FB314" s="15"/>
      <c r="FC314" s="15"/>
      <c r="FD314" s="15"/>
      <c r="FE314" s="15"/>
      <c r="FF314" s="15"/>
      <c r="FG314" s="15"/>
      <c r="FH314" s="15"/>
      <c r="FI314" s="15"/>
      <c r="FJ314" s="15"/>
      <c r="FK314" s="15"/>
      <c r="FL314" s="15"/>
      <c r="FM314" s="15"/>
      <c r="FN314" s="15"/>
      <c r="FO314" s="15"/>
      <c r="FP314" s="15"/>
      <c r="FQ314" s="15"/>
      <c r="FR314" s="15"/>
      <c r="FS314" s="15"/>
      <c r="FT314" s="15"/>
      <c r="FU314" s="15"/>
      <c r="FV314" s="15"/>
    </row>
    <row r="315" spans="22:178" s="2" customFormat="1">
      <c r="V315" s="15"/>
      <c r="CX315" s="13"/>
      <c r="CY315" s="13"/>
      <c r="CZ315" s="13"/>
      <c r="DA315" s="13"/>
      <c r="DB315" s="13"/>
      <c r="DC315" s="13"/>
      <c r="DD315" s="13"/>
      <c r="DE315" s="13"/>
      <c r="DF315" s="13"/>
      <c r="DG315" s="13"/>
      <c r="DH315" s="13"/>
      <c r="DI315" s="13"/>
      <c r="DJ315" s="13"/>
      <c r="DK315" s="10"/>
      <c r="DL315" s="10"/>
      <c r="DM315" s="10"/>
      <c r="DN315" s="10"/>
      <c r="DO315" s="10"/>
      <c r="DP315" s="10"/>
      <c r="DQ315" s="10"/>
      <c r="DR315" s="10"/>
      <c r="DS315" s="10"/>
      <c r="DT315" s="10"/>
      <c r="DU315" s="10"/>
      <c r="DV315" s="10"/>
      <c r="DW315" s="10"/>
      <c r="DX315" s="10"/>
      <c r="DY315" s="10"/>
      <c r="DZ315" s="10"/>
      <c r="EA315" s="10"/>
      <c r="EB315" s="10"/>
      <c r="EC315" s="10"/>
      <c r="ED315" s="10"/>
      <c r="EE315" s="10"/>
      <c r="EF315" s="10"/>
      <c r="EG315" s="10"/>
      <c r="EH315" s="10"/>
      <c r="EI315" s="15"/>
      <c r="EJ315" s="15"/>
      <c r="EK315" s="15"/>
      <c r="EL315" s="15"/>
      <c r="EM315" s="15"/>
      <c r="EN315" s="15"/>
      <c r="EO315" s="15"/>
      <c r="EP315" s="15"/>
      <c r="EQ315" s="15"/>
      <c r="ER315" s="15"/>
      <c r="ES315" s="15"/>
      <c r="ET315" s="15"/>
      <c r="EU315" s="15"/>
      <c r="EV315" s="15"/>
      <c r="EW315" s="15"/>
      <c r="EX315" s="15"/>
      <c r="EY315" s="15"/>
      <c r="EZ315" s="15"/>
      <c r="FA315" s="15"/>
      <c r="FB315" s="15"/>
      <c r="FC315" s="15"/>
      <c r="FD315" s="15"/>
      <c r="FE315" s="15"/>
      <c r="FF315" s="15"/>
      <c r="FG315" s="15"/>
      <c r="FH315" s="15"/>
      <c r="FI315" s="15"/>
      <c r="FJ315" s="15"/>
      <c r="FK315" s="15"/>
      <c r="FL315" s="15"/>
      <c r="FM315" s="15"/>
      <c r="FN315" s="15"/>
      <c r="FO315" s="15"/>
      <c r="FP315" s="15"/>
      <c r="FQ315" s="15"/>
      <c r="FR315" s="15"/>
      <c r="FS315" s="15"/>
      <c r="FT315" s="15"/>
      <c r="FU315" s="15"/>
      <c r="FV315" s="15"/>
    </row>
    <row r="316" spans="22:178" s="2" customFormat="1">
      <c r="V316" s="15"/>
      <c r="CX316" s="13"/>
      <c r="CY316" s="13"/>
      <c r="CZ316" s="13"/>
      <c r="DA316" s="13"/>
      <c r="DB316" s="13"/>
      <c r="DC316" s="13"/>
      <c r="DD316" s="13"/>
      <c r="DE316" s="13"/>
      <c r="DF316" s="13"/>
      <c r="DG316" s="13"/>
      <c r="DH316" s="13"/>
      <c r="DI316" s="13"/>
      <c r="DJ316" s="13"/>
      <c r="DK316" s="10"/>
      <c r="DL316" s="10"/>
      <c r="DM316" s="10"/>
      <c r="DN316" s="10"/>
      <c r="DO316" s="10"/>
      <c r="DP316" s="10"/>
      <c r="DQ316" s="10"/>
      <c r="DR316" s="10"/>
      <c r="DS316" s="10"/>
      <c r="DT316" s="10"/>
      <c r="DU316" s="10"/>
      <c r="DV316" s="10"/>
      <c r="DW316" s="10"/>
      <c r="DX316" s="10"/>
      <c r="DY316" s="10"/>
      <c r="DZ316" s="10"/>
      <c r="EA316" s="10"/>
      <c r="EB316" s="10"/>
      <c r="EC316" s="10"/>
      <c r="ED316" s="10"/>
      <c r="EE316" s="10"/>
      <c r="EF316" s="10"/>
      <c r="EG316" s="10"/>
      <c r="EH316" s="10"/>
      <c r="EI316" s="15"/>
      <c r="EJ316" s="15"/>
      <c r="EK316" s="15"/>
      <c r="EL316" s="15"/>
      <c r="EM316" s="15"/>
      <c r="EN316" s="15"/>
      <c r="EO316" s="15"/>
      <c r="EP316" s="15"/>
      <c r="EQ316" s="15"/>
      <c r="ER316" s="15"/>
      <c r="ES316" s="15"/>
      <c r="ET316" s="15"/>
      <c r="EU316" s="15"/>
      <c r="EV316" s="15"/>
      <c r="EW316" s="15"/>
      <c r="EX316" s="15"/>
      <c r="EY316" s="15"/>
      <c r="EZ316" s="15"/>
      <c r="FA316" s="15"/>
      <c r="FB316" s="15"/>
      <c r="FC316" s="15"/>
      <c r="FD316" s="15"/>
      <c r="FE316" s="15"/>
      <c r="FF316" s="15"/>
      <c r="FG316" s="15"/>
      <c r="FH316" s="15"/>
      <c r="FI316" s="15"/>
      <c r="FJ316" s="15"/>
      <c r="FK316" s="15"/>
      <c r="FL316" s="15"/>
      <c r="FM316" s="15"/>
      <c r="FN316" s="15"/>
      <c r="FO316" s="15"/>
      <c r="FP316" s="15"/>
      <c r="FQ316" s="15"/>
      <c r="FR316" s="15"/>
      <c r="FS316" s="15"/>
      <c r="FT316" s="15"/>
      <c r="FU316" s="15"/>
      <c r="FV316" s="15"/>
    </row>
    <row r="317" spans="22:178" s="2" customFormat="1">
      <c r="V317" s="15"/>
      <c r="CX317" s="13"/>
      <c r="CY317" s="13"/>
      <c r="CZ317" s="13"/>
      <c r="DA317" s="13"/>
      <c r="DB317" s="13"/>
      <c r="DC317" s="13"/>
      <c r="DD317" s="13"/>
      <c r="DE317" s="13"/>
      <c r="DF317" s="13"/>
      <c r="DG317" s="13"/>
      <c r="DH317" s="13"/>
      <c r="DI317" s="13"/>
      <c r="DJ317" s="13"/>
      <c r="DK317" s="10"/>
      <c r="DL317" s="10"/>
      <c r="DM317" s="10"/>
      <c r="DN317" s="10"/>
      <c r="DO317" s="10"/>
      <c r="DP317" s="10"/>
      <c r="DQ317" s="10"/>
      <c r="DR317" s="10"/>
      <c r="DS317" s="10"/>
      <c r="DT317" s="10"/>
      <c r="DU317" s="10"/>
      <c r="DV317" s="10"/>
      <c r="DW317" s="10"/>
      <c r="DX317" s="10"/>
      <c r="DY317" s="10"/>
      <c r="DZ317" s="10"/>
      <c r="EA317" s="10"/>
      <c r="EB317" s="10"/>
      <c r="EC317" s="10"/>
      <c r="ED317" s="10"/>
      <c r="EE317" s="10"/>
      <c r="EF317" s="10"/>
      <c r="EG317" s="10"/>
      <c r="EH317" s="10"/>
      <c r="EI317" s="15"/>
      <c r="EJ317" s="15"/>
      <c r="EK317" s="15"/>
      <c r="EL317" s="15"/>
      <c r="EM317" s="15"/>
      <c r="EN317" s="15"/>
      <c r="EO317" s="15"/>
      <c r="EP317" s="15"/>
      <c r="EQ317" s="15"/>
      <c r="ER317" s="15"/>
      <c r="ES317" s="15"/>
      <c r="ET317" s="15"/>
      <c r="EU317" s="15"/>
      <c r="EV317" s="15"/>
      <c r="EW317" s="15"/>
      <c r="EX317" s="15"/>
      <c r="EY317" s="15"/>
      <c r="EZ317" s="15"/>
      <c r="FA317" s="15"/>
      <c r="FB317" s="15"/>
      <c r="FC317" s="15"/>
      <c r="FD317" s="15"/>
      <c r="FE317" s="15"/>
      <c r="FF317" s="15"/>
      <c r="FG317" s="15"/>
      <c r="FH317" s="15"/>
      <c r="FI317" s="15"/>
      <c r="FJ317" s="15"/>
      <c r="FK317" s="15"/>
      <c r="FL317" s="15"/>
      <c r="FM317" s="15"/>
      <c r="FN317" s="15"/>
      <c r="FO317" s="15"/>
      <c r="FP317" s="15"/>
      <c r="FQ317" s="15"/>
      <c r="FR317" s="15"/>
      <c r="FS317" s="15"/>
      <c r="FT317" s="15"/>
      <c r="FU317" s="15"/>
      <c r="FV317" s="15"/>
    </row>
    <row r="318" spans="22:178" s="2" customFormat="1">
      <c r="V318" s="15"/>
      <c r="CX318" s="13"/>
      <c r="CY318" s="13"/>
      <c r="CZ318" s="13"/>
      <c r="DA318" s="13"/>
      <c r="DB318" s="13"/>
      <c r="DC318" s="13"/>
      <c r="DD318" s="13"/>
      <c r="DE318" s="13"/>
      <c r="DF318" s="13"/>
      <c r="DG318" s="13"/>
      <c r="DH318" s="13"/>
      <c r="DI318" s="13"/>
      <c r="DJ318" s="13"/>
      <c r="DK318" s="10"/>
      <c r="DL318" s="10"/>
      <c r="DM318" s="10"/>
      <c r="DN318" s="10"/>
      <c r="DO318" s="10"/>
      <c r="DP318" s="10"/>
      <c r="DQ318" s="10"/>
      <c r="DR318" s="10"/>
      <c r="DS318" s="10"/>
      <c r="DT318" s="10"/>
      <c r="DU318" s="10"/>
      <c r="DV318" s="10"/>
      <c r="DW318" s="10"/>
      <c r="DX318" s="10"/>
      <c r="DY318" s="10"/>
      <c r="DZ318" s="10"/>
      <c r="EA318" s="10"/>
      <c r="EB318" s="10"/>
      <c r="EC318" s="10"/>
      <c r="ED318" s="10"/>
      <c r="EE318" s="10"/>
      <c r="EF318" s="10"/>
      <c r="EG318" s="10"/>
      <c r="EH318" s="10"/>
      <c r="EI318" s="15"/>
      <c r="EJ318" s="15"/>
      <c r="EK318" s="15"/>
      <c r="EL318" s="15"/>
      <c r="EM318" s="15"/>
      <c r="EN318" s="15"/>
      <c r="EO318" s="15"/>
      <c r="EP318" s="15"/>
      <c r="EQ318" s="15"/>
      <c r="ER318" s="15"/>
      <c r="ES318" s="15"/>
      <c r="ET318" s="15"/>
      <c r="EU318" s="15"/>
      <c r="EV318" s="15"/>
      <c r="EW318" s="15"/>
      <c r="EX318" s="15"/>
      <c r="EY318" s="15"/>
      <c r="EZ318" s="15"/>
      <c r="FA318" s="15"/>
      <c r="FB318" s="15"/>
      <c r="FC318" s="15"/>
      <c r="FD318" s="15"/>
      <c r="FE318" s="15"/>
      <c r="FF318" s="15"/>
      <c r="FG318" s="15"/>
      <c r="FH318" s="15"/>
      <c r="FI318" s="15"/>
      <c r="FJ318" s="15"/>
      <c r="FK318" s="15"/>
      <c r="FL318" s="15"/>
      <c r="FM318" s="15"/>
      <c r="FN318" s="15"/>
      <c r="FO318" s="15"/>
      <c r="FP318" s="15"/>
      <c r="FQ318" s="15"/>
      <c r="FR318" s="15"/>
      <c r="FS318" s="15"/>
      <c r="FT318" s="15"/>
      <c r="FU318" s="15"/>
      <c r="FV318" s="15"/>
    </row>
    <row r="319" spans="22:178" s="2" customFormat="1">
      <c r="V319" s="15"/>
      <c r="CX319" s="13"/>
      <c r="CY319" s="13"/>
      <c r="CZ319" s="13"/>
      <c r="DA319" s="13"/>
      <c r="DB319" s="13"/>
      <c r="DC319" s="13"/>
      <c r="DD319" s="13"/>
      <c r="DE319" s="13"/>
      <c r="DF319" s="13"/>
      <c r="DG319" s="13"/>
      <c r="DH319" s="13"/>
      <c r="DI319" s="13"/>
      <c r="DJ319" s="13"/>
      <c r="DK319" s="10"/>
      <c r="DL319" s="10"/>
      <c r="DM319" s="10"/>
      <c r="DN319" s="10"/>
      <c r="DO319" s="10"/>
      <c r="DP319" s="10"/>
      <c r="DQ319" s="10"/>
      <c r="DR319" s="10"/>
      <c r="DS319" s="10"/>
      <c r="DT319" s="10"/>
      <c r="DU319" s="10"/>
      <c r="DV319" s="10"/>
      <c r="DW319" s="10"/>
      <c r="DX319" s="10"/>
      <c r="DY319" s="10"/>
      <c r="DZ319" s="10"/>
      <c r="EA319" s="10"/>
      <c r="EB319" s="10"/>
      <c r="EC319" s="10"/>
      <c r="ED319" s="10"/>
      <c r="EE319" s="10"/>
      <c r="EF319" s="10"/>
      <c r="EG319" s="10"/>
      <c r="EH319" s="10"/>
      <c r="EI319" s="15"/>
      <c r="EJ319" s="15"/>
      <c r="EK319" s="15"/>
      <c r="EL319" s="15"/>
      <c r="EM319" s="15"/>
      <c r="EN319" s="15"/>
      <c r="EO319" s="15"/>
      <c r="EP319" s="15"/>
      <c r="EQ319" s="15"/>
      <c r="ER319" s="15"/>
      <c r="ES319" s="15"/>
      <c r="ET319" s="15"/>
      <c r="EU319" s="15"/>
      <c r="EV319" s="15"/>
      <c r="EW319" s="15"/>
      <c r="EX319" s="15"/>
      <c r="EY319" s="15"/>
      <c r="EZ319" s="15"/>
      <c r="FA319" s="15"/>
      <c r="FB319" s="15"/>
      <c r="FC319" s="15"/>
      <c r="FD319" s="15"/>
      <c r="FE319" s="15"/>
      <c r="FF319" s="15"/>
      <c r="FG319" s="15"/>
      <c r="FH319" s="15"/>
      <c r="FI319" s="15"/>
      <c r="FJ319" s="15"/>
      <c r="FK319" s="15"/>
      <c r="FL319" s="15"/>
      <c r="FM319" s="15"/>
      <c r="FN319" s="15"/>
      <c r="FO319" s="15"/>
      <c r="FP319" s="15"/>
      <c r="FQ319" s="15"/>
      <c r="FR319" s="15"/>
      <c r="FS319" s="15"/>
      <c r="FT319" s="15"/>
      <c r="FU319" s="15"/>
      <c r="FV319" s="15"/>
    </row>
    <row r="320" spans="22:178" s="2" customFormat="1">
      <c r="V320" s="15"/>
      <c r="CX320" s="13"/>
      <c r="CY320" s="13"/>
      <c r="CZ320" s="13"/>
      <c r="DA320" s="13"/>
      <c r="DB320" s="13"/>
      <c r="DC320" s="13"/>
      <c r="DD320" s="13"/>
      <c r="DE320" s="13"/>
      <c r="DF320" s="13"/>
      <c r="DG320" s="13"/>
      <c r="DH320" s="13"/>
      <c r="DI320" s="13"/>
      <c r="DJ320" s="13"/>
      <c r="DK320" s="10"/>
      <c r="DL320" s="10"/>
      <c r="DM320" s="10"/>
      <c r="DN320" s="10"/>
      <c r="DO320" s="10"/>
      <c r="DP320" s="10"/>
      <c r="DQ320" s="10"/>
      <c r="DR320" s="10"/>
      <c r="DS320" s="10"/>
      <c r="DT320" s="10"/>
      <c r="DU320" s="10"/>
      <c r="DV320" s="10"/>
      <c r="DW320" s="10"/>
      <c r="DX320" s="10"/>
      <c r="DY320" s="10"/>
      <c r="DZ320" s="10"/>
      <c r="EA320" s="10"/>
      <c r="EB320" s="10"/>
      <c r="EC320" s="10"/>
      <c r="ED320" s="10"/>
      <c r="EE320" s="10"/>
      <c r="EF320" s="10"/>
      <c r="EG320" s="10"/>
      <c r="EH320" s="10"/>
      <c r="EI320" s="15"/>
      <c r="EJ320" s="15"/>
      <c r="EK320" s="15"/>
      <c r="EL320" s="15"/>
      <c r="EM320" s="15"/>
      <c r="EN320" s="15"/>
      <c r="EO320" s="15"/>
      <c r="EP320" s="15"/>
      <c r="EQ320" s="15"/>
      <c r="ER320" s="15"/>
      <c r="ES320" s="15"/>
      <c r="ET320" s="15"/>
      <c r="EU320" s="15"/>
      <c r="EV320" s="15"/>
      <c r="EW320" s="15"/>
      <c r="EX320" s="15"/>
      <c r="EY320" s="15"/>
      <c r="EZ320" s="15"/>
      <c r="FA320" s="15"/>
      <c r="FB320" s="15"/>
      <c r="FC320" s="15"/>
      <c r="FD320" s="15"/>
      <c r="FE320" s="15"/>
      <c r="FF320" s="15"/>
      <c r="FG320" s="15"/>
      <c r="FH320" s="15"/>
      <c r="FI320" s="15"/>
      <c r="FJ320" s="15"/>
      <c r="FK320" s="15"/>
      <c r="FL320" s="15"/>
      <c r="FM320" s="15"/>
      <c r="FN320" s="15"/>
      <c r="FO320" s="15"/>
      <c r="FP320" s="15"/>
      <c r="FQ320" s="15"/>
      <c r="FR320" s="15"/>
      <c r="FS320" s="15"/>
      <c r="FT320" s="15"/>
      <c r="FU320" s="15"/>
      <c r="FV320" s="15"/>
    </row>
    <row r="321" spans="22:178" s="2" customFormat="1">
      <c r="V321" s="15"/>
      <c r="CX321" s="13"/>
      <c r="CY321" s="13"/>
      <c r="CZ321" s="13"/>
      <c r="DA321" s="13"/>
      <c r="DB321" s="13"/>
      <c r="DC321" s="13"/>
      <c r="DD321" s="13"/>
      <c r="DE321" s="13"/>
      <c r="DF321" s="13"/>
      <c r="DG321" s="13"/>
      <c r="DH321" s="13"/>
      <c r="DI321" s="13"/>
      <c r="DJ321" s="13"/>
      <c r="DK321" s="10"/>
      <c r="DL321" s="10"/>
      <c r="DM321" s="10"/>
      <c r="DN321" s="10"/>
      <c r="DO321" s="10"/>
      <c r="DP321" s="10"/>
      <c r="DQ321" s="10"/>
      <c r="DR321" s="10"/>
      <c r="DS321" s="10"/>
      <c r="DT321" s="10"/>
      <c r="DU321" s="10"/>
      <c r="DV321" s="10"/>
      <c r="DW321" s="10"/>
      <c r="DX321" s="10"/>
      <c r="DY321" s="10"/>
      <c r="DZ321" s="10"/>
      <c r="EA321" s="10"/>
      <c r="EB321" s="10"/>
      <c r="EC321" s="10"/>
      <c r="ED321" s="10"/>
      <c r="EE321" s="10"/>
      <c r="EF321" s="10"/>
      <c r="EG321" s="10"/>
      <c r="EH321" s="10"/>
      <c r="EI321" s="15"/>
      <c r="EJ321" s="15"/>
      <c r="EK321" s="15"/>
      <c r="EL321" s="15"/>
      <c r="EM321" s="15"/>
      <c r="EN321" s="15"/>
      <c r="EO321" s="15"/>
      <c r="EP321" s="15"/>
      <c r="EQ321" s="15"/>
      <c r="ER321" s="15"/>
      <c r="ES321" s="15"/>
      <c r="ET321" s="15"/>
      <c r="EU321" s="15"/>
      <c r="EV321" s="15"/>
      <c r="EW321" s="15"/>
      <c r="EX321" s="15"/>
      <c r="EY321" s="15"/>
      <c r="EZ321" s="15"/>
      <c r="FA321" s="15"/>
      <c r="FB321" s="15"/>
      <c r="FC321" s="15"/>
      <c r="FD321" s="15"/>
      <c r="FE321" s="15"/>
      <c r="FF321" s="15"/>
      <c r="FG321" s="15"/>
      <c r="FH321" s="15"/>
      <c r="FI321" s="15"/>
      <c r="FJ321" s="15"/>
      <c r="FK321" s="15"/>
      <c r="FL321" s="15"/>
      <c r="FM321" s="15"/>
      <c r="FN321" s="15"/>
      <c r="FO321" s="15"/>
      <c r="FP321" s="15"/>
      <c r="FQ321" s="15"/>
      <c r="FR321" s="15"/>
      <c r="FS321" s="15"/>
      <c r="FT321" s="15"/>
      <c r="FU321" s="15"/>
      <c r="FV321" s="15"/>
    </row>
    <row r="322" spans="22:178" s="2" customFormat="1">
      <c r="V322" s="15"/>
      <c r="CX322" s="13"/>
      <c r="CY322" s="13"/>
      <c r="CZ322" s="13"/>
      <c r="DA322" s="13"/>
      <c r="DB322" s="13"/>
      <c r="DC322" s="13"/>
      <c r="DD322" s="13"/>
      <c r="DE322" s="13"/>
      <c r="DF322" s="13"/>
      <c r="DG322" s="13"/>
      <c r="DH322" s="13"/>
      <c r="DI322" s="13"/>
      <c r="DJ322" s="13"/>
      <c r="DK322" s="10"/>
      <c r="DL322" s="10"/>
      <c r="DM322" s="10"/>
      <c r="DN322" s="10"/>
      <c r="DO322" s="10"/>
      <c r="DP322" s="10"/>
      <c r="DQ322" s="10"/>
      <c r="DR322" s="10"/>
      <c r="DS322" s="10"/>
      <c r="DT322" s="10"/>
      <c r="DU322" s="10"/>
      <c r="DV322" s="10"/>
      <c r="DW322" s="10"/>
      <c r="DX322" s="10"/>
      <c r="DY322" s="10"/>
      <c r="DZ322" s="10"/>
      <c r="EA322" s="10"/>
      <c r="EB322" s="10"/>
      <c r="EC322" s="10"/>
      <c r="ED322" s="10"/>
      <c r="EE322" s="10"/>
      <c r="EF322" s="10"/>
      <c r="EG322" s="10"/>
      <c r="EH322" s="10"/>
      <c r="EI322" s="15"/>
      <c r="EJ322" s="15"/>
      <c r="EK322" s="15"/>
      <c r="EL322" s="15"/>
      <c r="EM322" s="15"/>
      <c r="EN322" s="15"/>
      <c r="EO322" s="15"/>
      <c r="EP322" s="15"/>
      <c r="EQ322" s="15"/>
      <c r="ER322" s="15"/>
      <c r="ES322" s="15"/>
      <c r="ET322" s="15"/>
      <c r="EU322" s="15"/>
      <c r="EV322" s="15"/>
      <c r="EW322" s="15"/>
      <c r="EX322" s="15"/>
      <c r="EY322" s="15"/>
      <c r="EZ322" s="15"/>
      <c r="FA322" s="15"/>
      <c r="FB322" s="15"/>
      <c r="FC322" s="15"/>
      <c r="FD322" s="15"/>
      <c r="FE322" s="15"/>
      <c r="FF322" s="15"/>
      <c r="FG322" s="15"/>
      <c r="FH322" s="15"/>
      <c r="FI322" s="15"/>
      <c r="FJ322" s="15"/>
      <c r="FK322" s="15"/>
      <c r="FL322" s="15"/>
      <c r="FM322" s="15"/>
      <c r="FN322" s="15"/>
      <c r="FO322" s="15"/>
      <c r="FP322" s="15"/>
      <c r="FQ322" s="15"/>
      <c r="FR322" s="15"/>
      <c r="FS322" s="15"/>
      <c r="FT322" s="15"/>
      <c r="FU322" s="15"/>
      <c r="FV322" s="15"/>
    </row>
    <row r="323" spans="22:178" s="2" customFormat="1">
      <c r="V323" s="15"/>
      <c r="CX323" s="13"/>
      <c r="CY323" s="13"/>
      <c r="CZ323" s="13"/>
      <c r="DA323" s="13"/>
      <c r="DB323" s="13"/>
      <c r="DC323" s="13"/>
      <c r="DD323" s="13"/>
      <c r="DE323" s="13"/>
      <c r="DF323" s="13"/>
      <c r="DG323" s="13"/>
      <c r="DH323" s="13"/>
      <c r="DI323" s="13"/>
      <c r="DJ323" s="13"/>
      <c r="DK323" s="10"/>
      <c r="DL323" s="10"/>
      <c r="DM323" s="10"/>
      <c r="DN323" s="10"/>
      <c r="DO323" s="10"/>
      <c r="DP323" s="10"/>
      <c r="DQ323" s="10"/>
      <c r="DR323" s="10"/>
      <c r="DS323" s="10"/>
      <c r="DT323" s="10"/>
      <c r="DU323" s="10"/>
      <c r="DV323" s="10"/>
      <c r="DW323" s="10"/>
      <c r="DX323" s="10"/>
      <c r="DY323" s="10"/>
      <c r="DZ323" s="10"/>
      <c r="EA323" s="10"/>
      <c r="EB323" s="10"/>
      <c r="EC323" s="10"/>
      <c r="ED323" s="10"/>
      <c r="EE323" s="10"/>
      <c r="EF323" s="10"/>
      <c r="EG323" s="10"/>
      <c r="EH323" s="10"/>
      <c r="EI323" s="15"/>
      <c r="EJ323" s="15"/>
      <c r="EK323" s="15"/>
      <c r="EL323" s="15"/>
      <c r="EM323" s="15"/>
      <c r="EN323" s="15"/>
      <c r="EO323" s="15"/>
      <c r="EP323" s="15"/>
      <c r="EQ323" s="15"/>
      <c r="ER323" s="15"/>
      <c r="ES323" s="15"/>
      <c r="ET323" s="15"/>
      <c r="EU323" s="15"/>
      <c r="EV323" s="15"/>
      <c r="EW323" s="15"/>
      <c r="EX323" s="15"/>
      <c r="EY323" s="15"/>
      <c r="EZ323" s="15"/>
      <c r="FA323" s="15"/>
      <c r="FB323" s="15"/>
      <c r="FC323" s="15"/>
      <c r="FD323" s="15"/>
      <c r="FE323" s="15"/>
      <c r="FF323" s="15"/>
      <c r="FG323" s="15"/>
      <c r="FH323" s="15"/>
      <c r="FI323" s="15"/>
      <c r="FJ323" s="15"/>
      <c r="FK323" s="15"/>
      <c r="FL323" s="15"/>
      <c r="FM323" s="15"/>
      <c r="FN323" s="15"/>
      <c r="FO323" s="15"/>
      <c r="FP323" s="15"/>
      <c r="FQ323" s="15"/>
      <c r="FR323" s="15"/>
      <c r="FS323" s="15"/>
      <c r="FT323" s="15"/>
      <c r="FU323" s="15"/>
      <c r="FV323" s="15"/>
    </row>
    <row r="324" spans="22:178" s="2" customFormat="1">
      <c r="V324" s="15"/>
      <c r="CX324" s="13"/>
      <c r="CY324" s="13"/>
      <c r="CZ324" s="13"/>
      <c r="DA324" s="13"/>
      <c r="DB324" s="13"/>
      <c r="DC324" s="13"/>
      <c r="DD324" s="13"/>
      <c r="DE324" s="13"/>
      <c r="DF324" s="13"/>
      <c r="DG324" s="13"/>
      <c r="DH324" s="13"/>
      <c r="DI324" s="13"/>
      <c r="DJ324" s="13"/>
      <c r="DK324" s="10"/>
      <c r="DL324" s="10"/>
      <c r="DM324" s="10"/>
      <c r="DN324" s="10"/>
      <c r="DO324" s="10"/>
      <c r="DP324" s="10"/>
      <c r="DQ324" s="10"/>
      <c r="DR324" s="10"/>
      <c r="DS324" s="10"/>
      <c r="DT324" s="10"/>
      <c r="DU324" s="10"/>
      <c r="DV324" s="10"/>
      <c r="DW324" s="10"/>
      <c r="DX324" s="10"/>
      <c r="DY324" s="10"/>
      <c r="DZ324" s="10"/>
      <c r="EA324" s="10"/>
      <c r="EB324" s="10"/>
      <c r="EC324" s="10"/>
      <c r="ED324" s="10"/>
      <c r="EE324" s="10"/>
      <c r="EF324" s="10"/>
      <c r="EG324" s="10"/>
      <c r="EH324" s="10"/>
      <c r="EI324" s="15"/>
      <c r="EJ324" s="15"/>
      <c r="EK324" s="15"/>
      <c r="EL324" s="15"/>
      <c r="EM324" s="15"/>
      <c r="EN324" s="15"/>
      <c r="EO324" s="15"/>
      <c r="EP324" s="15"/>
      <c r="EQ324" s="15"/>
      <c r="ER324" s="15"/>
      <c r="ES324" s="15"/>
      <c r="ET324" s="15"/>
      <c r="EU324" s="15"/>
      <c r="EV324" s="15"/>
      <c r="EW324" s="15"/>
      <c r="EX324" s="15"/>
      <c r="EY324" s="15"/>
      <c r="EZ324" s="15"/>
      <c r="FA324" s="15"/>
      <c r="FB324" s="15"/>
      <c r="FC324" s="15"/>
      <c r="FD324" s="15"/>
      <c r="FE324" s="15"/>
      <c r="FF324" s="15"/>
      <c r="FG324" s="15"/>
      <c r="FH324" s="15"/>
      <c r="FI324" s="15"/>
      <c r="FJ324" s="15"/>
      <c r="FK324" s="15"/>
      <c r="FL324" s="15"/>
      <c r="FM324" s="15"/>
      <c r="FN324" s="15"/>
      <c r="FO324" s="15"/>
      <c r="FP324" s="15"/>
      <c r="FQ324" s="15"/>
      <c r="FR324" s="15"/>
      <c r="FS324" s="15"/>
      <c r="FT324" s="15"/>
      <c r="FU324" s="15"/>
      <c r="FV324" s="15"/>
    </row>
    <row r="325" spans="22:178" s="2" customFormat="1">
      <c r="V325" s="15"/>
      <c r="CX325" s="13"/>
      <c r="CY325" s="13"/>
      <c r="CZ325" s="13"/>
      <c r="DA325" s="13"/>
      <c r="DB325" s="13"/>
      <c r="DC325" s="13"/>
      <c r="DD325" s="13"/>
      <c r="DE325" s="13"/>
      <c r="DF325" s="13"/>
      <c r="DG325" s="13"/>
      <c r="DH325" s="13"/>
      <c r="DI325" s="13"/>
      <c r="DJ325" s="13"/>
      <c r="DK325" s="10"/>
      <c r="DL325" s="10"/>
      <c r="DM325" s="10"/>
      <c r="DN325" s="10"/>
      <c r="DO325" s="10"/>
      <c r="DP325" s="10"/>
      <c r="DQ325" s="10"/>
      <c r="DR325" s="10"/>
      <c r="DS325" s="10"/>
      <c r="DT325" s="10"/>
      <c r="DU325" s="10"/>
      <c r="DV325" s="10"/>
      <c r="DW325" s="10"/>
      <c r="DX325" s="10"/>
      <c r="DY325" s="10"/>
      <c r="DZ325" s="10"/>
      <c r="EA325" s="10"/>
      <c r="EB325" s="10"/>
      <c r="EC325" s="10"/>
      <c r="ED325" s="10"/>
      <c r="EE325" s="10"/>
      <c r="EF325" s="10"/>
      <c r="EG325" s="10"/>
      <c r="EH325" s="10"/>
      <c r="EI325" s="15"/>
      <c r="EJ325" s="15"/>
      <c r="EK325" s="15"/>
      <c r="EL325" s="15"/>
      <c r="EM325" s="15"/>
      <c r="EN325" s="15"/>
      <c r="EO325" s="15"/>
      <c r="EP325" s="15"/>
      <c r="EQ325" s="15"/>
      <c r="ER325" s="15"/>
      <c r="ES325" s="15"/>
      <c r="ET325" s="15"/>
      <c r="EU325" s="15"/>
      <c r="EV325" s="15"/>
      <c r="EW325" s="15"/>
      <c r="EX325" s="15"/>
      <c r="EY325" s="15"/>
      <c r="EZ325" s="15"/>
      <c r="FA325" s="15"/>
      <c r="FB325" s="15"/>
      <c r="FC325" s="15"/>
      <c r="FD325" s="15"/>
      <c r="FE325" s="15"/>
      <c r="FF325" s="15"/>
      <c r="FG325" s="15"/>
      <c r="FH325" s="15"/>
      <c r="FI325" s="15"/>
      <c r="FJ325" s="15"/>
      <c r="FK325" s="15"/>
      <c r="FL325" s="15"/>
      <c r="FM325" s="15"/>
      <c r="FN325" s="15"/>
      <c r="FO325" s="15"/>
      <c r="FP325" s="15"/>
      <c r="FQ325" s="15"/>
      <c r="FR325" s="15"/>
      <c r="FS325" s="15"/>
      <c r="FT325" s="15"/>
      <c r="FU325" s="15"/>
      <c r="FV325" s="15"/>
    </row>
    <row r="326" spans="22:178" s="2" customFormat="1">
      <c r="V326" s="15"/>
      <c r="CX326" s="13"/>
      <c r="CY326" s="13"/>
      <c r="CZ326" s="13"/>
      <c r="DA326" s="13"/>
      <c r="DB326" s="13"/>
      <c r="DC326" s="13"/>
      <c r="DD326" s="13"/>
      <c r="DE326" s="13"/>
      <c r="DF326" s="13"/>
      <c r="DG326" s="13"/>
      <c r="DH326" s="13"/>
      <c r="DI326" s="13"/>
      <c r="DJ326" s="13"/>
      <c r="DK326" s="10"/>
      <c r="DL326" s="10"/>
      <c r="DM326" s="10"/>
      <c r="DN326" s="10"/>
      <c r="DO326" s="10"/>
      <c r="DP326" s="10"/>
      <c r="DQ326" s="10"/>
      <c r="DR326" s="10"/>
      <c r="DS326" s="10"/>
      <c r="DT326" s="10"/>
      <c r="DU326" s="10"/>
      <c r="DV326" s="10"/>
      <c r="DW326" s="10"/>
      <c r="DX326" s="10"/>
      <c r="DY326" s="10"/>
      <c r="DZ326" s="10"/>
      <c r="EA326" s="10"/>
      <c r="EB326" s="10"/>
      <c r="EC326" s="10"/>
      <c r="ED326" s="10"/>
      <c r="EE326" s="10"/>
      <c r="EF326" s="10"/>
      <c r="EG326" s="10"/>
      <c r="EH326" s="10"/>
      <c r="EI326" s="15"/>
      <c r="EJ326" s="15"/>
      <c r="EK326" s="15"/>
      <c r="EL326" s="15"/>
      <c r="EM326" s="15"/>
      <c r="EN326" s="15"/>
      <c r="EO326" s="15"/>
      <c r="EP326" s="15"/>
      <c r="EQ326" s="15"/>
      <c r="ER326" s="15"/>
      <c r="ES326" s="15"/>
      <c r="ET326" s="15"/>
      <c r="EU326" s="15"/>
      <c r="EV326" s="15"/>
      <c r="EW326" s="15"/>
      <c r="EX326" s="15"/>
      <c r="EY326" s="15"/>
      <c r="EZ326" s="15"/>
      <c r="FA326" s="15"/>
      <c r="FB326" s="15"/>
      <c r="FC326" s="15"/>
      <c r="FD326" s="15"/>
      <c r="FE326" s="15"/>
      <c r="FF326" s="15"/>
      <c r="FG326" s="15"/>
      <c r="FH326" s="15"/>
      <c r="FI326" s="15"/>
      <c r="FJ326" s="15"/>
      <c r="FK326" s="15"/>
      <c r="FL326" s="15"/>
      <c r="FM326" s="15"/>
      <c r="FN326" s="15"/>
      <c r="FO326" s="15"/>
      <c r="FP326" s="15"/>
      <c r="FQ326" s="15"/>
      <c r="FR326" s="15"/>
      <c r="FS326" s="15"/>
      <c r="FT326" s="15"/>
      <c r="FU326" s="15"/>
      <c r="FV326" s="15"/>
    </row>
    <row r="327" spans="22:178" s="2" customFormat="1">
      <c r="V327" s="15"/>
      <c r="CX327" s="13"/>
      <c r="CY327" s="13"/>
      <c r="CZ327" s="13"/>
      <c r="DA327" s="13"/>
      <c r="DB327" s="13"/>
      <c r="DC327" s="13"/>
      <c r="DD327" s="13"/>
      <c r="DE327" s="13"/>
      <c r="DF327" s="13"/>
      <c r="DG327" s="13"/>
      <c r="DH327" s="13"/>
      <c r="DI327" s="13"/>
      <c r="DJ327" s="13"/>
      <c r="DK327" s="10"/>
      <c r="DL327" s="10"/>
      <c r="DM327" s="10"/>
      <c r="DN327" s="10"/>
      <c r="DO327" s="10"/>
      <c r="DP327" s="10"/>
      <c r="DQ327" s="10"/>
      <c r="DR327" s="10"/>
      <c r="DS327" s="10"/>
      <c r="DT327" s="10"/>
      <c r="DU327" s="10"/>
      <c r="DV327" s="10"/>
      <c r="DW327" s="10"/>
      <c r="DX327" s="10"/>
      <c r="DY327" s="10"/>
      <c r="DZ327" s="10"/>
      <c r="EA327" s="10"/>
      <c r="EB327" s="10"/>
      <c r="EC327" s="10"/>
      <c r="ED327" s="10"/>
      <c r="EE327" s="10"/>
      <c r="EF327" s="10"/>
      <c r="EG327" s="10"/>
      <c r="EH327" s="10"/>
      <c r="EI327" s="15"/>
      <c r="EJ327" s="15"/>
      <c r="EK327" s="15"/>
      <c r="EL327" s="15"/>
      <c r="EM327" s="15"/>
      <c r="EN327" s="15"/>
      <c r="EO327" s="15"/>
      <c r="EP327" s="15"/>
      <c r="EQ327" s="15"/>
      <c r="ER327" s="15"/>
      <c r="ES327" s="15"/>
      <c r="ET327" s="15"/>
      <c r="EU327" s="15"/>
      <c r="EV327" s="15"/>
      <c r="EW327" s="15"/>
      <c r="EX327" s="15"/>
      <c r="EY327" s="15"/>
      <c r="EZ327" s="15"/>
      <c r="FA327" s="15"/>
      <c r="FB327" s="15"/>
      <c r="FC327" s="15"/>
      <c r="FD327" s="15"/>
      <c r="FE327" s="15"/>
      <c r="FF327" s="15"/>
      <c r="FG327" s="15"/>
      <c r="FH327" s="15"/>
      <c r="FI327" s="15"/>
      <c r="FJ327" s="15"/>
      <c r="FK327" s="15"/>
      <c r="FL327" s="15"/>
      <c r="FM327" s="15"/>
      <c r="FN327" s="15"/>
      <c r="FO327" s="15"/>
      <c r="FP327" s="15"/>
      <c r="FQ327" s="15"/>
      <c r="FR327" s="15"/>
      <c r="FS327" s="15"/>
      <c r="FT327" s="15"/>
      <c r="FU327" s="15"/>
      <c r="FV327" s="15"/>
    </row>
    <row r="328" spans="22:178" s="2" customFormat="1">
      <c r="V328" s="15"/>
      <c r="CX328" s="13"/>
      <c r="CY328" s="13"/>
      <c r="CZ328" s="13"/>
      <c r="DA328" s="13"/>
      <c r="DB328" s="13"/>
      <c r="DC328" s="13"/>
      <c r="DD328" s="13"/>
      <c r="DE328" s="13"/>
      <c r="DF328" s="13"/>
      <c r="DG328" s="13"/>
      <c r="DH328" s="13"/>
      <c r="DI328" s="13"/>
      <c r="DJ328" s="13"/>
      <c r="DK328" s="10"/>
      <c r="DL328" s="10"/>
      <c r="DM328" s="10"/>
      <c r="DN328" s="10"/>
      <c r="DO328" s="10"/>
      <c r="DP328" s="10"/>
      <c r="DQ328" s="10"/>
      <c r="DR328" s="10"/>
      <c r="DS328" s="10"/>
      <c r="DT328" s="10"/>
      <c r="DU328" s="10"/>
      <c r="DV328" s="10"/>
      <c r="DW328" s="10"/>
      <c r="DX328" s="10"/>
      <c r="DY328" s="10"/>
      <c r="DZ328" s="10"/>
      <c r="EA328" s="10"/>
      <c r="EB328" s="10"/>
      <c r="EC328" s="10"/>
      <c r="ED328" s="10"/>
      <c r="EE328" s="10"/>
      <c r="EF328" s="10"/>
      <c r="EG328" s="10"/>
      <c r="EH328" s="10"/>
      <c r="EI328" s="15"/>
      <c r="EJ328" s="15"/>
      <c r="EK328" s="15"/>
      <c r="EL328" s="15"/>
      <c r="EM328" s="15"/>
      <c r="EN328" s="15"/>
      <c r="EO328" s="15"/>
      <c r="EP328" s="15"/>
      <c r="EQ328" s="15"/>
      <c r="ER328" s="15"/>
      <c r="ES328" s="15"/>
      <c r="ET328" s="15"/>
      <c r="EU328" s="15"/>
      <c r="EV328" s="15"/>
      <c r="EW328" s="15"/>
      <c r="EX328" s="15"/>
      <c r="EY328" s="15"/>
      <c r="EZ328" s="15"/>
      <c r="FA328" s="15"/>
      <c r="FB328" s="15"/>
      <c r="FC328" s="15"/>
      <c r="FD328" s="15"/>
      <c r="FE328" s="15"/>
      <c r="FF328" s="15"/>
      <c r="FG328" s="15"/>
      <c r="FH328" s="15"/>
      <c r="FI328" s="15"/>
      <c r="FJ328" s="15"/>
      <c r="FK328" s="15"/>
      <c r="FL328" s="15"/>
      <c r="FM328" s="15"/>
      <c r="FN328" s="15"/>
      <c r="FO328" s="15"/>
      <c r="FP328" s="15"/>
      <c r="FQ328" s="15"/>
      <c r="FR328" s="15"/>
      <c r="FS328" s="15"/>
      <c r="FT328" s="15"/>
      <c r="FU328" s="15"/>
      <c r="FV328" s="15"/>
    </row>
    <row r="329" spans="22:178" s="2" customFormat="1">
      <c r="V329" s="15"/>
      <c r="DK329" s="15"/>
      <c r="DL329" s="15"/>
      <c r="DM329" s="15"/>
      <c r="DN329" s="15"/>
      <c r="DO329" s="15"/>
      <c r="DP329" s="15"/>
      <c r="DQ329" s="15"/>
      <c r="DR329" s="15"/>
      <c r="DS329" s="15"/>
      <c r="DT329" s="15"/>
      <c r="DU329" s="15"/>
      <c r="DV329" s="15"/>
      <c r="DW329" s="15"/>
      <c r="DX329" s="15"/>
      <c r="DY329" s="15"/>
      <c r="DZ329" s="15"/>
      <c r="EA329" s="15"/>
      <c r="EB329" s="15"/>
      <c r="EC329" s="15"/>
      <c r="ED329" s="15"/>
      <c r="EE329" s="15"/>
      <c r="EF329" s="15"/>
      <c r="EG329" s="15"/>
      <c r="EH329" s="15"/>
      <c r="EI329" s="15"/>
      <c r="EJ329" s="15"/>
      <c r="EK329" s="15"/>
      <c r="EL329" s="15"/>
      <c r="EM329" s="15"/>
      <c r="EN329" s="15"/>
      <c r="EO329" s="15"/>
      <c r="EP329" s="15"/>
      <c r="EQ329" s="15"/>
      <c r="ER329" s="15"/>
      <c r="ES329" s="15"/>
      <c r="ET329" s="15"/>
      <c r="EU329" s="15"/>
      <c r="EV329" s="15"/>
      <c r="EW329" s="15"/>
      <c r="EX329" s="15"/>
      <c r="EY329" s="15"/>
      <c r="EZ329" s="15"/>
      <c r="FA329" s="15"/>
      <c r="FB329" s="15"/>
      <c r="FC329" s="15"/>
      <c r="FD329" s="15"/>
      <c r="FE329" s="15"/>
      <c r="FF329" s="15"/>
      <c r="FG329" s="15"/>
      <c r="FH329" s="15"/>
      <c r="FI329" s="15"/>
      <c r="FJ329" s="15"/>
      <c r="FK329" s="15"/>
      <c r="FL329" s="15"/>
      <c r="FM329" s="15"/>
      <c r="FN329" s="15"/>
      <c r="FO329" s="15"/>
      <c r="FP329" s="15"/>
      <c r="FQ329" s="15"/>
      <c r="FR329" s="15"/>
      <c r="FS329" s="15"/>
      <c r="FT329" s="15"/>
      <c r="FU329" s="15"/>
      <c r="FV329" s="15"/>
    </row>
    <row r="330" spans="22:178" s="2" customFormat="1">
      <c r="V330" s="15"/>
      <c r="DK330" s="15"/>
      <c r="DL330" s="15"/>
      <c r="DM330" s="15"/>
      <c r="DN330" s="15"/>
      <c r="DO330" s="15"/>
      <c r="DP330" s="15"/>
      <c r="DQ330" s="15"/>
      <c r="DR330" s="15"/>
      <c r="DS330" s="15"/>
      <c r="DT330" s="15"/>
      <c r="DU330" s="15"/>
      <c r="DV330" s="15"/>
      <c r="DW330" s="15"/>
      <c r="DX330" s="15"/>
      <c r="DY330" s="15"/>
      <c r="DZ330" s="15"/>
      <c r="EA330" s="15"/>
      <c r="EB330" s="15"/>
      <c r="EC330" s="15"/>
      <c r="ED330" s="15"/>
      <c r="EE330" s="15"/>
      <c r="EF330" s="15"/>
      <c r="EG330" s="15"/>
      <c r="EH330" s="15"/>
      <c r="EI330" s="15"/>
      <c r="EJ330" s="15"/>
      <c r="EK330" s="15"/>
      <c r="EL330" s="15"/>
      <c r="EM330" s="15"/>
      <c r="EN330" s="15"/>
      <c r="EO330" s="15"/>
      <c r="EP330" s="15"/>
      <c r="EQ330" s="15"/>
      <c r="ER330" s="15"/>
      <c r="ES330" s="15"/>
      <c r="ET330" s="15"/>
      <c r="EU330" s="15"/>
      <c r="EV330" s="15"/>
      <c r="EW330" s="15"/>
      <c r="EX330" s="15"/>
      <c r="EY330" s="15"/>
      <c r="EZ330" s="15"/>
      <c r="FA330" s="15"/>
      <c r="FB330" s="15"/>
      <c r="FC330" s="15"/>
      <c r="FD330" s="15"/>
      <c r="FE330" s="15"/>
      <c r="FF330" s="15"/>
      <c r="FG330" s="15"/>
      <c r="FH330" s="15"/>
      <c r="FI330" s="15"/>
      <c r="FJ330" s="15"/>
      <c r="FK330" s="15"/>
      <c r="FL330" s="15"/>
      <c r="FM330" s="15"/>
      <c r="FN330" s="15"/>
      <c r="FO330" s="15"/>
      <c r="FP330" s="15"/>
      <c r="FQ330" s="15"/>
      <c r="FR330" s="15"/>
      <c r="FS330" s="15"/>
      <c r="FT330" s="15"/>
      <c r="FU330" s="15"/>
      <c r="FV330" s="15"/>
    </row>
    <row r="331" spans="22:178" s="2" customFormat="1">
      <c r="V331" s="15"/>
      <c r="DK331" s="15"/>
      <c r="DL331" s="15"/>
      <c r="DM331" s="15"/>
      <c r="DN331" s="15"/>
      <c r="DO331" s="15"/>
      <c r="DP331" s="15"/>
      <c r="DQ331" s="15"/>
      <c r="DR331" s="15"/>
      <c r="DS331" s="15"/>
      <c r="DT331" s="15"/>
      <c r="DU331" s="15"/>
      <c r="DV331" s="15"/>
      <c r="DW331" s="15"/>
      <c r="DX331" s="15"/>
      <c r="DY331" s="15"/>
      <c r="DZ331" s="15"/>
      <c r="EA331" s="15"/>
      <c r="EB331" s="15"/>
      <c r="EC331" s="15"/>
      <c r="ED331" s="15"/>
      <c r="EE331" s="15"/>
      <c r="EF331" s="15"/>
      <c r="EG331" s="15"/>
      <c r="EH331" s="15"/>
      <c r="EI331" s="15"/>
      <c r="EJ331" s="15"/>
      <c r="EK331" s="15"/>
      <c r="EL331" s="15"/>
      <c r="EM331" s="15"/>
      <c r="EN331" s="15"/>
      <c r="EO331" s="15"/>
      <c r="EP331" s="15"/>
      <c r="EQ331" s="15"/>
      <c r="ER331" s="15"/>
      <c r="ES331" s="15"/>
      <c r="ET331" s="15"/>
      <c r="EU331" s="15"/>
      <c r="EV331" s="15"/>
      <c r="EW331" s="15"/>
      <c r="EX331" s="15"/>
      <c r="EY331" s="15"/>
      <c r="EZ331" s="15"/>
      <c r="FA331" s="15"/>
      <c r="FB331" s="15"/>
      <c r="FC331" s="15"/>
      <c r="FD331" s="15"/>
      <c r="FE331" s="15"/>
      <c r="FF331" s="15"/>
      <c r="FG331" s="15"/>
      <c r="FH331" s="15"/>
      <c r="FI331" s="15"/>
      <c r="FJ331" s="15"/>
      <c r="FK331" s="15"/>
      <c r="FL331" s="15"/>
      <c r="FM331" s="15"/>
      <c r="FN331" s="15"/>
      <c r="FO331" s="15"/>
      <c r="FP331" s="15"/>
      <c r="FQ331" s="15"/>
      <c r="FR331" s="15"/>
      <c r="FS331" s="15"/>
      <c r="FT331" s="15"/>
      <c r="FU331" s="15"/>
      <c r="FV331" s="15"/>
    </row>
    <row r="332" spans="22:178" s="2" customFormat="1">
      <c r="V332" s="15"/>
      <c r="DK332" s="15"/>
      <c r="DL332" s="15"/>
      <c r="DM332" s="15"/>
      <c r="DN332" s="15"/>
      <c r="DO332" s="15"/>
      <c r="DP332" s="15"/>
      <c r="DQ332" s="15"/>
      <c r="DR332" s="15"/>
      <c r="DS332" s="15"/>
      <c r="DT332" s="15"/>
      <c r="DU332" s="15"/>
      <c r="DV332" s="15"/>
      <c r="DW332" s="15"/>
      <c r="DX332" s="15"/>
      <c r="DY332" s="15"/>
      <c r="DZ332" s="15"/>
      <c r="EA332" s="15"/>
      <c r="EB332" s="15"/>
      <c r="EC332" s="15"/>
      <c r="ED332" s="15"/>
      <c r="EE332" s="15"/>
      <c r="EF332" s="15"/>
      <c r="EG332" s="15"/>
      <c r="EH332" s="15"/>
      <c r="EI332" s="15"/>
      <c r="EJ332" s="15"/>
      <c r="EK332" s="15"/>
      <c r="EL332" s="15"/>
      <c r="EM332" s="15"/>
      <c r="EN332" s="15"/>
      <c r="EO332" s="15"/>
      <c r="EP332" s="15"/>
      <c r="EQ332" s="15"/>
      <c r="ER332" s="15"/>
      <c r="ES332" s="15"/>
      <c r="ET332" s="15"/>
      <c r="EU332" s="15"/>
      <c r="EV332" s="15"/>
      <c r="EW332" s="15"/>
      <c r="EX332" s="15"/>
      <c r="EY332" s="15"/>
      <c r="EZ332" s="15"/>
      <c r="FA332" s="15"/>
      <c r="FB332" s="15"/>
      <c r="FC332" s="15"/>
      <c r="FD332" s="15"/>
      <c r="FE332" s="15"/>
      <c r="FF332" s="15"/>
      <c r="FG332" s="15"/>
      <c r="FH332" s="15"/>
      <c r="FI332" s="15"/>
      <c r="FJ332" s="15"/>
      <c r="FK332" s="15"/>
      <c r="FL332" s="15"/>
      <c r="FM332" s="15"/>
      <c r="FN332" s="15"/>
      <c r="FO332" s="15"/>
      <c r="FP332" s="15"/>
      <c r="FQ332" s="15"/>
      <c r="FR332" s="15"/>
      <c r="FS332" s="15"/>
      <c r="FT332" s="15"/>
      <c r="FU332" s="15"/>
      <c r="FV332" s="15"/>
    </row>
    <row r="333" spans="22:178" s="2" customFormat="1">
      <c r="V333" s="15"/>
      <c r="DK333" s="15"/>
      <c r="DL333" s="15"/>
      <c r="DM333" s="15"/>
      <c r="DN333" s="15"/>
      <c r="DO333" s="15"/>
      <c r="DP333" s="15"/>
      <c r="DQ333" s="15"/>
      <c r="DR333" s="15"/>
      <c r="DS333" s="15"/>
      <c r="DT333" s="15"/>
      <c r="DU333" s="15"/>
      <c r="DV333" s="15"/>
      <c r="DW333" s="15"/>
      <c r="DX333" s="15"/>
      <c r="DY333" s="15"/>
      <c r="DZ333" s="15"/>
      <c r="EA333" s="15"/>
      <c r="EB333" s="15"/>
      <c r="EC333" s="15"/>
      <c r="ED333" s="15"/>
      <c r="EE333" s="15"/>
      <c r="EF333" s="15"/>
      <c r="EG333" s="15"/>
      <c r="EH333" s="15"/>
      <c r="EI333" s="15"/>
      <c r="EJ333" s="15"/>
      <c r="EK333" s="15"/>
      <c r="EL333" s="15"/>
      <c r="EM333" s="15"/>
      <c r="EN333" s="15"/>
      <c r="EO333" s="15"/>
      <c r="EP333" s="15"/>
      <c r="EQ333" s="15"/>
      <c r="ER333" s="15"/>
      <c r="ES333" s="15"/>
      <c r="ET333" s="15"/>
      <c r="EU333" s="15"/>
      <c r="EV333" s="15"/>
      <c r="EW333" s="15"/>
      <c r="EX333" s="15"/>
      <c r="EY333" s="15"/>
      <c r="EZ333" s="15"/>
      <c r="FA333" s="15"/>
      <c r="FB333" s="15"/>
      <c r="FC333" s="15"/>
      <c r="FD333" s="15"/>
      <c r="FE333" s="15"/>
      <c r="FF333" s="15"/>
      <c r="FG333" s="15"/>
      <c r="FH333" s="15"/>
      <c r="FI333" s="15"/>
      <c r="FJ333" s="15"/>
      <c r="FK333" s="15"/>
      <c r="FL333" s="15"/>
      <c r="FM333" s="15"/>
      <c r="FN333" s="15"/>
      <c r="FO333" s="15"/>
      <c r="FP333" s="15"/>
      <c r="FQ333" s="15"/>
      <c r="FR333" s="15"/>
      <c r="FS333" s="15"/>
      <c r="FT333" s="15"/>
      <c r="FU333" s="15"/>
      <c r="FV333" s="15"/>
    </row>
    <row r="334" spans="22:178" s="2" customFormat="1">
      <c r="V334" s="15"/>
      <c r="DK334" s="15"/>
      <c r="DL334" s="15"/>
      <c r="DM334" s="15"/>
      <c r="DN334" s="15"/>
      <c r="DO334" s="15"/>
      <c r="DP334" s="15"/>
      <c r="DQ334" s="15"/>
      <c r="DR334" s="15"/>
      <c r="DS334" s="15"/>
      <c r="DT334" s="15"/>
      <c r="DU334" s="15"/>
      <c r="DV334" s="15"/>
      <c r="DW334" s="15"/>
      <c r="DX334" s="15"/>
      <c r="DY334" s="15"/>
      <c r="DZ334" s="15"/>
      <c r="EA334" s="15"/>
      <c r="EB334" s="15"/>
      <c r="EC334" s="15"/>
      <c r="ED334" s="15"/>
      <c r="EE334" s="15"/>
      <c r="EF334" s="15"/>
      <c r="EG334" s="15"/>
      <c r="EH334" s="15"/>
      <c r="EI334" s="15"/>
      <c r="EJ334" s="15"/>
      <c r="EK334" s="15"/>
      <c r="EL334" s="15"/>
      <c r="EM334" s="15"/>
      <c r="EN334" s="15"/>
      <c r="EO334" s="15"/>
      <c r="EP334" s="15"/>
      <c r="EQ334" s="15"/>
      <c r="ER334" s="15"/>
      <c r="ES334" s="15"/>
      <c r="ET334" s="15"/>
      <c r="EU334" s="15"/>
      <c r="EV334" s="15"/>
      <c r="EW334" s="15"/>
      <c r="EX334" s="15"/>
      <c r="EY334" s="15"/>
      <c r="EZ334" s="15"/>
      <c r="FA334" s="15"/>
      <c r="FB334" s="15"/>
      <c r="FC334" s="15"/>
      <c r="FD334" s="15"/>
      <c r="FE334" s="15"/>
      <c r="FF334" s="15"/>
      <c r="FG334" s="15"/>
      <c r="FH334" s="15"/>
      <c r="FI334" s="15"/>
      <c r="FJ334" s="15"/>
      <c r="FK334" s="15"/>
      <c r="FL334" s="15"/>
      <c r="FM334" s="15"/>
      <c r="FN334" s="15"/>
      <c r="FO334" s="15"/>
      <c r="FP334" s="15"/>
      <c r="FQ334" s="15"/>
      <c r="FR334" s="15"/>
      <c r="FS334" s="15"/>
      <c r="FT334" s="15"/>
      <c r="FU334" s="15"/>
      <c r="FV334" s="15"/>
    </row>
    <row r="335" spans="22:178" s="2" customFormat="1">
      <c r="V335" s="15"/>
      <c r="DK335" s="15"/>
      <c r="DL335" s="15"/>
      <c r="DM335" s="15"/>
      <c r="DN335" s="15"/>
      <c r="DO335" s="15"/>
      <c r="DP335" s="15"/>
      <c r="DQ335" s="15"/>
      <c r="DR335" s="15"/>
      <c r="DS335" s="15"/>
      <c r="DT335" s="15"/>
      <c r="DU335" s="15"/>
      <c r="DV335" s="15"/>
      <c r="DW335" s="15"/>
      <c r="DX335" s="15"/>
      <c r="DY335" s="15"/>
      <c r="DZ335" s="15"/>
      <c r="EA335" s="15"/>
      <c r="EB335" s="15"/>
      <c r="EC335" s="15"/>
      <c r="ED335" s="15"/>
      <c r="EE335" s="15"/>
      <c r="EF335" s="15"/>
      <c r="EG335" s="15"/>
      <c r="EH335" s="15"/>
      <c r="EI335" s="15"/>
      <c r="EJ335" s="15"/>
      <c r="EK335" s="15"/>
      <c r="EL335" s="15"/>
      <c r="EM335" s="15"/>
      <c r="EN335" s="15"/>
      <c r="EO335" s="15"/>
      <c r="EP335" s="15"/>
      <c r="EQ335" s="15"/>
      <c r="ER335" s="15"/>
      <c r="ES335" s="15"/>
      <c r="ET335" s="15"/>
      <c r="EU335" s="15"/>
      <c r="EV335" s="15"/>
      <c r="EW335" s="15"/>
      <c r="EX335" s="15"/>
      <c r="EY335" s="15"/>
      <c r="EZ335" s="15"/>
      <c r="FA335" s="15"/>
      <c r="FB335" s="15"/>
      <c r="FC335" s="15"/>
      <c r="FD335" s="15"/>
      <c r="FE335" s="15"/>
      <c r="FF335" s="15"/>
      <c r="FG335" s="15"/>
      <c r="FH335" s="15"/>
      <c r="FI335" s="15"/>
      <c r="FJ335" s="15"/>
      <c r="FK335" s="15"/>
      <c r="FL335" s="15"/>
      <c r="FM335" s="15"/>
      <c r="FN335" s="15"/>
      <c r="FO335" s="15"/>
      <c r="FP335" s="15"/>
      <c r="FQ335" s="15"/>
      <c r="FR335" s="15"/>
      <c r="FS335" s="15"/>
      <c r="FT335" s="15"/>
      <c r="FU335" s="15"/>
      <c r="FV335" s="15"/>
    </row>
    <row r="336" spans="22:178" s="2" customFormat="1">
      <c r="V336" s="15"/>
      <c r="DK336" s="15"/>
      <c r="DL336" s="15"/>
      <c r="DM336" s="15"/>
      <c r="DN336" s="15"/>
      <c r="DO336" s="15"/>
      <c r="DP336" s="15"/>
      <c r="DQ336" s="15"/>
      <c r="DR336" s="15"/>
      <c r="DS336" s="15"/>
      <c r="DT336" s="15"/>
      <c r="DU336" s="15"/>
      <c r="DV336" s="15"/>
      <c r="DW336" s="15"/>
      <c r="DX336" s="15"/>
      <c r="DY336" s="15"/>
      <c r="DZ336" s="15"/>
      <c r="EA336" s="15"/>
      <c r="EB336" s="15"/>
      <c r="EC336" s="15"/>
      <c r="ED336" s="15"/>
      <c r="EE336" s="15"/>
      <c r="EF336" s="15"/>
      <c r="EG336" s="15"/>
      <c r="EH336" s="15"/>
      <c r="EI336" s="15"/>
      <c r="EJ336" s="15"/>
      <c r="EK336" s="15"/>
      <c r="EL336" s="15"/>
      <c r="EM336" s="15"/>
      <c r="EN336" s="15"/>
      <c r="EO336" s="15"/>
      <c r="EP336" s="15"/>
      <c r="EQ336" s="15"/>
      <c r="ER336" s="15"/>
      <c r="ES336" s="15"/>
      <c r="ET336" s="15"/>
      <c r="EU336" s="15"/>
      <c r="EV336" s="15"/>
      <c r="EW336" s="15"/>
      <c r="EX336" s="15"/>
      <c r="EY336" s="15"/>
      <c r="EZ336" s="15"/>
      <c r="FA336" s="15"/>
      <c r="FB336" s="15"/>
      <c r="FC336" s="15"/>
      <c r="FD336" s="15"/>
      <c r="FE336" s="15"/>
      <c r="FF336" s="15"/>
      <c r="FG336" s="15"/>
      <c r="FH336" s="15"/>
      <c r="FI336" s="15"/>
      <c r="FJ336" s="15"/>
      <c r="FK336" s="15"/>
      <c r="FL336" s="15"/>
      <c r="FM336" s="15"/>
      <c r="FN336" s="15"/>
      <c r="FO336" s="15"/>
      <c r="FP336" s="15"/>
      <c r="FQ336" s="15"/>
      <c r="FR336" s="15"/>
      <c r="FS336" s="15"/>
      <c r="FT336" s="15"/>
      <c r="FU336" s="15"/>
      <c r="FV336" s="15"/>
    </row>
    <row r="337" spans="22:178" s="2" customFormat="1">
      <c r="V337" s="15"/>
      <c r="DK337" s="15"/>
      <c r="DL337" s="15"/>
      <c r="DM337" s="15"/>
      <c r="DN337" s="15"/>
      <c r="DO337" s="15"/>
      <c r="DP337" s="15"/>
      <c r="DQ337" s="15"/>
      <c r="DR337" s="15"/>
      <c r="DS337" s="15"/>
      <c r="DT337" s="15"/>
      <c r="DU337" s="15"/>
      <c r="DV337" s="15"/>
      <c r="DW337" s="15"/>
      <c r="DX337" s="15"/>
      <c r="DY337" s="15"/>
      <c r="DZ337" s="15"/>
      <c r="EA337" s="15"/>
      <c r="EB337" s="15"/>
      <c r="EC337" s="15"/>
      <c r="ED337" s="15"/>
      <c r="EE337" s="15"/>
      <c r="EF337" s="15"/>
      <c r="EG337" s="15"/>
      <c r="EH337" s="15"/>
      <c r="EI337" s="15"/>
      <c r="EJ337" s="15"/>
      <c r="EK337" s="15"/>
      <c r="EL337" s="15"/>
      <c r="EM337" s="15"/>
      <c r="EN337" s="15"/>
      <c r="EO337" s="15"/>
      <c r="EP337" s="15"/>
      <c r="EQ337" s="15"/>
      <c r="ER337" s="15"/>
      <c r="ES337" s="15"/>
      <c r="ET337" s="15"/>
      <c r="EU337" s="15"/>
      <c r="EV337" s="15"/>
      <c r="EW337" s="15"/>
      <c r="EX337" s="15"/>
      <c r="EY337" s="15"/>
      <c r="EZ337" s="15"/>
      <c r="FA337" s="15"/>
      <c r="FB337" s="15"/>
      <c r="FC337" s="15"/>
      <c r="FD337" s="15"/>
      <c r="FE337" s="15"/>
      <c r="FF337" s="15"/>
      <c r="FG337" s="15"/>
      <c r="FH337" s="15"/>
      <c r="FI337" s="15"/>
      <c r="FJ337" s="15"/>
      <c r="FK337" s="15"/>
      <c r="FL337" s="15"/>
      <c r="FM337" s="15"/>
      <c r="FN337" s="15"/>
      <c r="FO337" s="15"/>
      <c r="FP337" s="15"/>
      <c r="FQ337" s="15"/>
      <c r="FR337" s="15"/>
      <c r="FS337" s="15"/>
      <c r="FT337" s="15"/>
      <c r="FU337" s="15"/>
      <c r="FV337" s="15"/>
    </row>
    <row r="338" spans="22:178" s="2" customFormat="1">
      <c r="V338" s="15"/>
      <c r="DK338" s="15"/>
      <c r="DL338" s="15"/>
      <c r="DM338" s="15"/>
      <c r="DN338" s="15"/>
      <c r="DO338" s="15"/>
      <c r="DP338" s="15"/>
      <c r="DQ338" s="15"/>
      <c r="DR338" s="15"/>
      <c r="DS338" s="15"/>
      <c r="DT338" s="15"/>
      <c r="DU338" s="15"/>
      <c r="DV338" s="15"/>
      <c r="DW338" s="15"/>
      <c r="DX338" s="15"/>
      <c r="DY338" s="15"/>
      <c r="DZ338" s="15"/>
      <c r="EA338" s="15"/>
      <c r="EB338" s="15"/>
      <c r="EC338" s="15"/>
      <c r="ED338" s="15"/>
      <c r="EE338" s="15"/>
      <c r="EF338" s="15"/>
      <c r="EG338" s="15"/>
      <c r="EH338" s="15"/>
      <c r="EI338" s="15"/>
      <c r="EJ338" s="15"/>
      <c r="EK338" s="15"/>
      <c r="EL338" s="15"/>
      <c r="EM338" s="15"/>
      <c r="EN338" s="15"/>
      <c r="EO338" s="15"/>
      <c r="EP338" s="15"/>
      <c r="EQ338" s="15"/>
      <c r="ER338" s="15"/>
      <c r="ES338" s="15"/>
      <c r="ET338" s="15"/>
      <c r="EU338" s="15"/>
      <c r="EV338" s="15"/>
      <c r="EW338" s="15"/>
      <c r="EX338" s="15"/>
      <c r="EY338" s="15"/>
      <c r="EZ338" s="15"/>
      <c r="FA338" s="15"/>
      <c r="FB338" s="15"/>
      <c r="FC338" s="15"/>
      <c r="FD338" s="15"/>
      <c r="FE338" s="15"/>
      <c r="FF338" s="15"/>
      <c r="FG338" s="15"/>
      <c r="FH338" s="15"/>
      <c r="FI338" s="15"/>
      <c r="FJ338" s="15"/>
      <c r="FK338" s="15"/>
      <c r="FL338" s="15"/>
      <c r="FM338" s="15"/>
      <c r="FN338" s="15"/>
      <c r="FO338" s="15"/>
      <c r="FP338" s="15"/>
      <c r="FQ338" s="15"/>
      <c r="FR338" s="15"/>
      <c r="FS338" s="15"/>
      <c r="FT338" s="15"/>
      <c r="FU338" s="15"/>
      <c r="FV338" s="15"/>
    </row>
    <row r="339" spans="22:178" s="2" customFormat="1">
      <c r="V339" s="15"/>
      <c r="DK339" s="15"/>
      <c r="DL339" s="15"/>
      <c r="DM339" s="15"/>
      <c r="DN339" s="15"/>
      <c r="DO339" s="15"/>
      <c r="DP339" s="15"/>
      <c r="DQ339" s="15"/>
      <c r="DR339" s="15"/>
      <c r="DS339" s="15"/>
      <c r="DT339" s="15"/>
      <c r="DU339" s="15"/>
      <c r="DV339" s="15"/>
      <c r="DW339" s="15"/>
      <c r="DX339" s="15"/>
      <c r="DY339" s="15"/>
      <c r="DZ339" s="15"/>
      <c r="EA339" s="15"/>
      <c r="EB339" s="15"/>
      <c r="EC339" s="15"/>
      <c r="ED339" s="15"/>
      <c r="EE339" s="15"/>
      <c r="EF339" s="15"/>
      <c r="EG339" s="15"/>
      <c r="EH339" s="15"/>
      <c r="EI339" s="15"/>
      <c r="EJ339" s="15"/>
      <c r="EK339" s="15"/>
      <c r="EL339" s="15"/>
      <c r="EM339" s="15"/>
      <c r="EN339" s="15"/>
      <c r="EO339" s="15"/>
      <c r="EP339" s="15"/>
      <c r="EQ339" s="15"/>
      <c r="ER339" s="15"/>
      <c r="ES339" s="15"/>
      <c r="ET339" s="15"/>
      <c r="EU339" s="15"/>
      <c r="EV339" s="15"/>
      <c r="EW339" s="15"/>
      <c r="EX339" s="15"/>
      <c r="EY339" s="15"/>
      <c r="EZ339" s="15"/>
      <c r="FA339" s="15"/>
      <c r="FB339" s="15"/>
      <c r="FC339" s="15"/>
      <c r="FD339" s="15"/>
      <c r="FE339" s="15"/>
      <c r="FF339" s="15"/>
      <c r="FG339" s="15"/>
      <c r="FH339" s="15"/>
      <c r="FI339" s="15"/>
      <c r="FJ339" s="15"/>
      <c r="FK339" s="15"/>
      <c r="FL339" s="15"/>
      <c r="FM339" s="15"/>
      <c r="FN339" s="15"/>
      <c r="FO339" s="15"/>
      <c r="FP339" s="15"/>
      <c r="FQ339" s="15"/>
      <c r="FR339" s="15"/>
      <c r="FS339" s="15"/>
      <c r="FT339" s="15"/>
      <c r="FU339" s="15"/>
      <c r="FV339" s="15"/>
    </row>
    <row r="340" spans="22:178" s="2" customFormat="1">
      <c r="V340" s="15"/>
      <c r="DK340" s="15"/>
      <c r="DL340" s="15"/>
      <c r="DM340" s="15"/>
      <c r="DN340" s="15"/>
      <c r="DO340" s="15"/>
      <c r="DP340" s="15"/>
      <c r="DQ340" s="15"/>
      <c r="DR340" s="15"/>
      <c r="DS340" s="15"/>
      <c r="DT340" s="15"/>
      <c r="DU340" s="15"/>
      <c r="DV340" s="15"/>
      <c r="DW340" s="15"/>
      <c r="DX340" s="15"/>
      <c r="DY340" s="15"/>
      <c r="DZ340" s="15"/>
      <c r="EA340" s="15"/>
      <c r="EB340" s="15"/>
      <c r="EC340" s="15"/>
      <c r="ED340" s="15"/>
      <c r="EE340" s="15"/>
      <c r="EF340" s="15"/>
      <c r="EG340" s="15"/>
      <c r="EH340" s="15"/>
      <c r="EI340" s="15"/>
      <c r="EJ340" s="15"/>
      <c r="EK340" s="15"/>
      <c r="EL340" s="15"/>
      <c r="EM340" s="15"/>
      <c r="EN340" s="15"/>
      <c r="EO340" s="15"/>
      <c r="EP340" s="15"/>
      <c r="EQ340" s="15"/>
      <c r="ER340" s="15"/>
      <c r="ES340" s="15"/>
      <c r="ET340" s="15"/>
      <c r="EU340" s="15"/>
      <c r="EV340" s="15"/>
      <c r="EW340" s="15"/>
      <c r="EX340" s="15"/>
      <c r="EY340" s="15"/>
      <c r="EZ340" s="15"/>
      <c r="FA340" s="15"/>
      <c r="FB340" s="15"/>
      <c r="FC340" s="15"/>
      <c r="FD340" s="15"/>
      <c r="FE340" s="15"/>
      <c r="FF340" s="15"/>
      <c r="FG340" s="15"/>
      <c r="FH340" s="15"/>
      <c r="FI340" s="15"/>
      <c r="FJ340" s="15"/>
      <c r="FK340" s="15"/>
      <c r="FL340" s="15"/>
      <c r="FM340" s="15"/>
      <c r="FN340" s="15"/>
      <c r="FO340" s="15"/>
      <c r="FP340" s="15"/>
      <c r="FQ340" s="15"/>
      <c r="FR340" s="15"/>
      <c r="FS340" s="15"/>
      <c r="FT340" s="15"/>
      <c r="FU340" s="15"/>
      <c r="FV340" s="15"/>
    </row>
    <row r="341" spans="22:178" s="2" customFormat="1">
      <c r="V341" s="15"/>
      <c r="DK341" s="15"/>
      <c r="DL341" s="15"/>
      <c r="DM341" s="15"/>
      <c r="DN341" s="15"/>
      <c r="DO341" s="15"/>
      <c r="DP341" s="15"/>
      <c r="DQ341" s="15"/>
      <c r="DR341" s="15"/>
      <c r="DS341" s="15"/>
      <c r="DT341" s="15"/>
      <c r="DU341" s="15"/>
      <c r="DV341" s="15"/>
      <c r="DW341" s="15"/>
      <c r="DX341" s="15"/>
      <c r="DY341" s="15"/>
      <c r="DZ341" s="15"/>
      <c r="EA341" s="15"/>
      <c r="EB341" s="15"/>
      <c r="EC341" s="15"/>
      <c r="ED341" s="15"/>
      <c r="EE341" s="15"/>
      <c r="EF341" s="15"/>
      <c r="EG341" s="15"/>
      <c r="EH341" s="15"/>
      <c r="EI341" s="15"/>
      <c r="EJ341" s="15"/>
      <c r="EK341" s="15"/>
      <c r="EL341" s="15"/>
      <c r="EM341" s="15"/>
      <c r="EN341" s="15"/>
      <c r="EO341" s="15"/>
      <c r="EP341" s="15"/>
      <c r="EQ341" s="15"/>
      <c r="ER341" s="15"/>
      <c r="ES341" s="15"/>
      <c r="ET341" s="15"/>
      <c r="EU341" s="15"/>
      <c r="EV341" s="15"/>
      <c r="EW341" s="15"/>
      <c r="EX341" s="15"/>
      <c r="EY341" s="15"/>
      <c r="EZ341" s="15"/>
      <c r="FA341" s="15"/>
      <c r="FB341" s="15"/>
      <c r="FC341" s="15"/>
      <c r="FD341" s="15"/>
      <c r="FE341" s="15"/>
      <c r="FF341" s="15"/>
      <c r="FG341" s="15"/>
      <c r="FH341" s="15"/>
      <c r="FI341" s="15"/>
      <c r="FJ341" s="15"/>
      <c r="FK341" s="15"/>
      <c r="FL341" s="15"/>
      <c r="FM341" s="15"/>
      <c r="FN341" s="15"/>
      <c r="FO341" s="15"/>
      <c r="FP341" s="15"/>
      <c r="FQ341" s="15"/>
      <c r="FR341" s="15"/>
      <c r="FS341" s="15"/>
      <c r="FT341" s="15"/>
      <c r="FU341" s="15"/>
      <c r="FV341" s="15"/>
    </row>
    <row r="342" spans="22:178" s="2" customFormat="1">
      <c r="V342" s="15"/>
      <c r="DK342" s="15"/>
      <c r="DL342" s="15"/>
      <c r="DM342" s="15"/>
      <c r="DN342" s="15"/>
      <c r="DO342" s="15"/>
      <c r="DP342" s="15"/>
      <c r="DQ342" s="15"/>
      <c r="DR342" s="15"/>
      <c r="DS342" s="15"/>
      <c r="DT342" s="15"/>
      <c r="DU342" s="15"/>
      <c r="DV342" s="15"/>
      <c r="DW342" s="15"/>
      <c r="DX342" s="15"/>
      <c r="DY342" s="15"/>
      <c r="DZ342" s="15"/>
      <c r="EA342" s="15"/>
      <c r="EB342" s="15"/>
      <c r="EC342" s="15"/>
      <c r="ED342" s="15"/>
      <c r="EE342" s="15"/>
      <c r="EF342" s="15"/>
      <c r="EG342" s="15"/>
      <c r="EH342" s="15"/>
      <c r="EI342" s="15"/>
      <c r="EJ342" s="15"/>
      <c r="EK342" s="15"/>
      <c r="EL342" s="15"/>
      <c r="EM342" s="15"/>
      <c r="EN342" s="15"/>
      <c r="EO342" s="15"/>
      <c r="EP342" s="15"/>
      <c r="EQ342" s="15"/>
      <c r="ER342" s="15"/>
      <c r="ES342" s="15"/>
      <c r="ET342" s="15"/>
      <c r="EU342" s="15"/>
      <c r="EV342" s="15"/>
      <c r="EW342" s="15"/>
      <c r="EX342" s="15"/>
      <c r="EY342" s="15"/>
      <c r="EZ342" s="15"/>
      <c r="FA342" s="15"/>
      <c r="FB342" s="15"/>
      <c r="FC342" s="15"/>
      <c r="FD342" s="15"/>
      <c r="FE342" s="15"/>
      <c r="FF342" s="15"/>
      <c r="FG342" s="15"/>
      <c r="FH342" s="15"/>
      <c r="FI342" s="15"/>
      <c r="FJ342" s="15"/>
      <c r="FK342" s="15"/>
      <c r="FL342" s="15"/>
      <c r="FM342" s="15"/>
      <c r="FN342" s="15"/>
      <c r="FO342" s="15"/>
      <c r="FP342" s="15"/>
      <c r="FQ342" s="15"/>
      <c r="FR342" s="15"/>
      <c r="FS342" s="15"/>
      <c r="FT342" s="15"/>
      <c r="FU342" s="15"/>
      <c r="FV342" s="15"/>
    </row>
    <row r="343" spans="22:178" s="2" customFormat="1">
      <c r="V343" s="15"/>
      <c r="DK343" s="15"/>
      <c r="DL343" s="15"/>
      <c r="DM343" s="15"/>
      <c r="DN343" s="15"/>
      <c r="DO343" s="15"/>
      <c r="DP343" s="15"/>
      <c r="DQ343" s="15"/>
      <c r="DR343" s="15"/>
      <c r="DS343" s="15"/>
      <c r="DT343" s="15"/>
      <c r="DU343" s="15"/>
      <c r="DV343" s="15"/>
      <c r="DW343" s="15"/>
      <c r="DX343" s="15"/>
      <c r="DY343" s="15"/>
      <c r="DZ343" s="15"/>
      <c r="EA343" s="15"/>
      <c r="EB343" s="15"/>
      <c r="EC343" s="15"/>
      <c r="ED343" s="15"/>
      <c r="EE343" s="15"/>
      <c r="EF343" s="15"/>
      <c r="EG343" s="15"/>
      <c r="EH343" s="15"/>
      <c r="EI343" s="15"/>
      <c r="EJ343" s="15"/>
      <c r="EK343" s="15"/>
      <c r="EL343" s="15"/>
      <c r="EM343" s="15"/>
      <c r="EN343" s="15"/>
      <c r="EO343" s="15"/>
      <c r="EP343" s="15"/>
      <c r="EQ343" s="15"/>
      <c r="ER343" s="15"/>
      <c r="ES343" s="15"/>
      <c r="ET343" s="15"/>
      <c r="EU343" s="15"/>
      <c r="EV343" s="15"/>
      <c r="EW343" s="15"/>
      <c r="EX343" s="15"/>
      <c r="EY343" s="15"/>
      <c r="EZ343" s="15"/>
      <c r="FA343" s="15"/>
      <c r="FB343" s="15"/>
      <c r="FC343" s="15"/>
      <c r="FD343" s="15"/>
      <c r="FE343" s="15"/>
      <c r="FF343" s="15"/>
      <c r="FG343" s="15"/>
      <c r="FH343" s="15"/>
      <c r="FI343" s="15"/>
      <c r="FJ343" s="15"/>
      <c r="FK343" s="15"/>
      <c r="FL343" s="15"/>
      <c r="FM343" s="15"/>
      <c r="FN343" s="15"/>
      <c r="FO343" s="15"/>
      <c r="FP343" s="15"/>
      <c r="FQ343" s="15"/>
      <c r="FR343" s="15"/>
      <c r="FS343" s="15"/>
      <c r="FT343" s="15"/>
      <c r="FU343" s="15"/>
      <c r="FV343" s="15"/>
    </row>
    <row r="344" spans="22:178" s="2" customFormat="1">
      <c r="V344" s="15"/>
      <c r="DK344" s="15"/>
      <c r="DL344" s="15"/>
      <c r="DM344" s="15"/>
      <c r="DN344" s="15"/>
      <c r="DO344" s="15"/>
      <c r="DP344" s="15"/>
      <c r="DQ344" s="15"/>
      <c r="DR344" s="15"/>
      <c r="DS344" s="15"/>
      <c r="DT344" s="15"/>
      <c r="DU344" s="15"/>
      <c r="DV344" s="15"/>
      <c r="DW344" s="15"/>
      <c r="DX344" s="15"/>
      <c r="DY344" s="15"/>
      <c r="DZ344" s="15"/>
      <c r="EA344" s="15"/>
      <c r="EB344" s="15"/>
      <c r="EC344" s="15"/>
      <c r="ED344" s="15"/>
      <c r="EE344" s="15"/>
      <c r="EF344" s="15"/>
      <c r="EG344" s="15"/>
      <c r="EH344" s="15"/>
      <c r="EI344" s="15"/>
      <c r="EJ344" s="15"/>
      <c r="EK344" s="15"/>
      <c r="EL344" s="15"/>
      <c r="EM344" s="15"/>
      <c r="EN344" s="15"/>
      <c r="EO344" s="15"/>
      <c r="EP344" s="15"/>
      <c r="EQ344" s="15"/>
      <c r="ER344" s="15"/>
      <c r="ES344" s="15"/>
      <c r="ET344" s="15"/>
      <c r="EU344" s="15"/>
      <c r="EV344" s="15"/>
      <c r="EW344" s="15"/>
      <c r="EX344" s="15"/>
      <c r="EY344" s="15"/>
      <c r="EZ344" s="15"/>
      <c r="FA344" s="15"/>
      <c r="FB344" s="15"/>
      <c r="FC344" s="15"/>
      <c r="FD344" s="15"/>
      <c r="FE344" s="15"/>
      <c r="FF344" s="15"/>
      <c r="FG344" s="15"/>
      <c r="FH344" s="15"/>
      <c r="FI344" s="15"/>
      <c r="FJ344" s="15"/>
      <c r="FK344" s="15"/>
      <c r="FL344" s="15"/>
      <c r="FM344" s="15"/>
      <c r="FN344" s="15"/>
      <c r="FO344" s="15"/>
      <c r="FP344" s="15"/>
      <c r="FQ344" s="15"/>
      <c r="FR344" s="15"/>
      <c r="FS344" s="15"/>
      <c r="FT344" s="15"/>
      <c r="FU344" s="15"/>
      <c r="FV344" s="15"/>
    </row>
    <row r="345" spans="22:178" s="2" customFormat="1">
      <c r="V345" s="15"/>
      <c r="DK345" s="15"/>
      <c r="DL345" s="15"/>
      <c r="DM345" s="15"/>
      <c r="DN345" s="15"/>
      <c r="DO345" s="15"/>
      <c r="DP345" s="15"/>
      <c r="DQ345" s="15"/>
      <c r="DR345" s="15"/>
      <c r="DS345" s="15"/>
      <c r="DT345" s="15"/>
      <c r="DU345" s="15"/>
      <c r="DV345" s="15"/>
      <c r="DW345" s="15"/>
      <c r="DX345" s="15"/>
      <c r="DY345" s="15"/>
      <c r="DZ345" s="15"/>
      <c r="EA345" s="15"/>
      <c r="EB345" s="15"/>
      <c r="EC345" s="15"/>
      <c r="ED345" s="15"/>
      <c r="EE345" s="15"/>
      <c r="EF345" s="15"/>
      <c r="EG345" s="15"/>
      <c r="EH345" s="15"/>
      <c r="EI345" s="15"/>
      <c r="EJ345" s="15"/>
      <c r="EK345" s="15"/>
      <c r="EL345" s="15"/>
      <c r="EM345" s="15"/>
      <c r="EN345" s="15"/>
      <c r="EO345" s="15"/>
      <c r="EP345" s="15"/>
      <c r="EQ345" s="15"/>
      <c r="ER345" s="15"/>
      <c r="ES345" s="15"/>
      <c r="ET345" s="15"/>
      <c r="EU345" s="15"/>
      <c r="EV345" s="15"/>
      <c r="EW345" s="15"/>
      <c r="EX345" s="15"/>
      <c r="EY345" s="15"/>
      <c r="EZ345" s="15"/>
      <c r="FA345" s="15"/>
      <c r="FB345" s="15"/>
      <c r="FC345" s="15"/>
      <c r="FD345" s="15"/>
      <c r="FE345" s="15"/>
      <c r="FF345" s="15"/>
      <c r="FG345" s="15"/>
      <c r="FH345" s="15"/>
      <c r="FI345" s="15"/>
      <c r="FJ345" s="15"/>
      <c r="FK345" s="15"/>
      <c r="FL345" s="15"/>
      <c r="FM345" s="15"/>
      <c r="FN345" s="15"/>
      <c r="FO345" s="15"/>
      <c r="FP345" s="15"/>
      <c r="FQ345" s="15"/>
      <c r="FR345" s="15"/>
      <c r="FS345" s="15"/>
      <c r="FT345" s="15"/>
      <c r="FU345" s="15"/>
      <c r="FV345" s="15"/>
    </row>
    <row r="346" spans="22:178" s="2" customFormat="1">
      <c r="V346" s="15"/>
      <c r="DK346" s="15"/>
      <c r="DL346" s="15"/>
      <c r="DM346" s="15"/>
      <c r="DN346" s="15"/>
      <c r="DO346" s="15"/>
      <c r="DP346" s="15"/>
      <c r="DQ346" s="15"/>
      <c r="DR346" s="15"/>
      <c r="DS346" s="15"/>
      <c r="DT346" s="15"/>
      <c r="DU346" s="15"/>
      <c r="DV346" s="15"/>
      <c r="DW346" s="15"/>
      <c r="DX346" s="15"/>
      <c r="DY346" s="15"/>
      <c r="DZ346" s="15"/>
      <c r="EA346" s="15"/>
      <c r="EB346" s="15"/>
      <c r="EC346" s="15"/>
      <c r="ED346" s="15"/>
      <c r="EE346" s="15"/>
      <c r="EF346" s="15"/>
      <c r="EG346" s="15"/>
      <c r="EH346" s="15"/>
      <c r="EI346" s="15"/>
      <c r="EJ346" s="15"/>
      <c r="EK346" s="15"/>
      <c r="EL346" s="15"/>
      <c r="EM346" s="15"/>
      <c r="EN346" s="15"/>
      <c r="EO346" s="15"/>
      <c r="EP346" s="15"/>
      <c r="EQ346" s="15"/>
      <c r="ER346" s="15"/>
      <c r="ES346" s="15"/>
      <c r="ET346" s="15"/>
      <c r="EU346" s="15"/>
      <c r="EV346" s="15"/>
      <c r="EW346" s="15"/>
      <c r="EX346" s="15"/>
      <c r="EY346" s="15"/>
      <c r="EZ346" s="15"/>
      <c r="FA346" s="15"/>
      <c r="FB346" s="15"/>
      <c r="FC346" s="15"/>
      <c r="FD346" s="15"/>
      <c r="FE346" s="15"/>
      <c r="FF346" s="15"/>
      <c r="FG346" s="15"/>
      <c r="FH346" s="15"/>
      <c r="FI346" s="15"/>
      <c r="FJ346" s="15"/>
      <c r="FK346" s="15"/>
      <c r="FL346" s="15"/>
      <c r="FM346" s="15"/>
      <c r="FN346" s="15"/>
      <c r="FO346" s="15"/>
      <c r="FP346" s="15"/>
      <c r="FQ346" s="15"/>
      <c r="FR346" s="15"/>
      <c r="FS346" s="15"/>
      <c r="FT346" s="15"/>
      <c r="FU346" s="15"/>
      <c r="FV346" s="15"/>
    </row>
    <row r="347" spans="22:178" s="2" customFormat="1">
      <c r="V347" s="15"/>
      <c r="DK347" s="15"/>
      <c r="DL347" s="15"/>
      <c r="DM347" s="15"/>
      <c r="DN347" s="15"/>
      <c r="DO347" s="15"/>
      <c r="DP347" s="15"/>
      <c r="DQ347" s="15"/>
      <c r="DR347" s="15"/>
      <c r="DS347" s="15"/>
      <c r="DT347" s="15"/>
      <c r="DU347" s="15"/>
      <c r="DV347" s="15"/>
      <c r="DW347" s="15"/>
      <c r="DX347" s="15"/>
      <c r="DY347" s="15"/>
      <c r="DZ347" s="15"/>
      <c r="EA347" s="15"/>
      <c r="EB347" s="15"/>
      <c r="EC347" s="15"/>
      <c r="ED347" s="15"/>
      <c r="EE347" s="15"/>
      <c r="EF347" s="15"/>
      <c r="EG347" s="15"/>
      <c r="EH347" s="15"/>
      <c r="EI347" s="15"/>
      <c r="EJ347" s="15"/>
      <c r="EK347" s="15"/>
      <c r="EL347" s="15"/>
      <c r="EM347" s="15"/>
      <c r="EN347" s="15"/>
      <c r="EO347" s="15"/>
      <c r="EP347" s="15"/>
      <c r="EQ347" s="15"/>
      <c r="ER347" s="15"/>
      <c r="ES347" s="15"/>
      <c r="ET347" s="15"/>
      <c r="EU347" s="15"/>
      <c r="EV347" s="15"/>
      <c r="EW347" s="15"/>
      <c r="EX347" s="15"/>
      <c r="EY347" s="15"/>
      <c r="EZ347" s="15"/>
      <c r="FA347" s="15"/>
      <c r="FB347" s="15"/>
      <c r="FC347" s="15"/>
      <c r="FD347" s="15"/>
      <c r="FE347" s="15"/>
      <c r="FF347" s="15"/>
      <c r="FG347" s="15"/>
      <c r="FH347" s="15"/>
      <c r="FI347" s="15"/>
      <c r="FJ347" s="15"/>
      <c r="FK347" s="15"/>
      <c r="FL347" s="15"/>
      <c r="FM347" s="15"/>
      <c r="FN347" s="15"/>
      <c r="FO347" s="15"/>
      <c r="FP347" s="15"/>
      <c r="FQ347" s="15"/>
      <c r="FR347" s="15"/>
      <c r="FS347" s="15"/>
      <c r="FT347" s="15"/>
      <c r="FU347" s="15"/>
      <c r="FV347" s="15"/>
    </row>
    <row r="348" spans="22:178" s="2" customFormat="1">
      <c r="V348" s="15"/>
      <c r="DK348" s="15"/>
      <c r="DL348" s="15"/>
      <c r="DM348" s="15"/>
      <c r="DN348" s="15"/>
      <c r="DO348" s="15"/>
      <c r="DP348" s="15"/>
      <c r="DQ348" s="15"/>
      <c r="DR348" s="15"/>
      <c r="DS348" s="15"/>
      <c r="DT348" s="15"/>
      <c r="DU348" s="15"/>
      <c r="DV348" s="15"/>
      <c r="DW348" s="15"/>
      <c r="DX348" s="15"/>
      <c r="DY348" s="15"/>
      <c r="DZ348" s="15"/>
      <c r="EA348" s="15"/>
      <c r="EB348" s="15"/>
      <c r="EC348" s="15"/>
      <c r="ED348" s="15"/>
      <c r="EE348" s="15"/>
      <c r="EF348" s="15"/>
      <c r="EG348" s="15"/>
      <c r="EH348" s="15"/>
      <c r="EI348" s="15"/>
      <c r="EJ348" s="15"/>
      <c r="EK348" s="15"/>
      <c r="EL348" s="15"/>
      <c r="EM348" s="15"/>
      <c r="EN348" s="15"/>
      <c r="EO348" s="15"/>
      <c r="EP348" s="15"/>
      <c r="EQ348" s="15"/>
      <c r="ER348" s="15"/>
      <c r="ES348" s="15"/>
      <c r="ET348" s="15"/>
      <c r="EU348" s="15"/>
      <c r="EV348" s="15"/>
      <c r="EW348" s="15"/>
      <c r="EX348" s="15"/>
      <c r="EY348" s="15"/>
      <c r="EZ348" s="15"/>
      <c r="FA348" s="15"/>
      <c r="FB348" s="15"/>
      <c r="FC348" s="15"/>
      <c r="FD348" s="15"/>
      <c r="FE348" s="15"/>
      <c r="FF348" s="15"/>
      <c r="FG348" s="15"/>
      <c r="FH348" s="15"/>
      <c r="FI348" s="15"/>
      <c r="FJ348" s="15"/>
      <c r="FK348" s="15"/>
      <c r="FL348" s="15"/>
      <c r="FM348" s="15"/>
      <c r="FN348" s="15"/>
      <c r="FO348" s="15"/>
      <c r="FP348" s="15"/>
      <c r="FQ348" s="15"/>
      <c r="FR348" s="15"/>
      <c r="FS348" s="15"/>
      <c r="FT348" s="15"/>
      <c r="FU348" s="15"/>
      <c r="FV348" s="15"/>
    </row>
    <row r="349" spans="22:178" s="2" customFormat="1">
      <c r="V349" s="15"/>
      <c r="DK349" s="15"/>
      <c r="DL349" s="15"/>
      <c r="DM349" s="15"/>
      <c r="DN349" s="15"/>
      <c r="DO349" s="15"/>
      <c r="DP349" s="15"/>
      <c r="DQ349" s="15"/>
      <c r="DR349" s="15"/>
      <c r="DS349" s="15"/>
      <c r="DT349" s="15"/>
      <c r="DU349" s="15"/>
      <c r="DV349" s="15"/>
      <c r="DW349" s="15"/>
      <c r="DX349" s="15"/>
      <c r="DY349" s="15"/>
      <c r="DZ349" s="15"/>
      <c r="EA349" s="15"/>
      <c r="EB349" s="15"/>
      <c r="EC349" s="15"/>
      <c r="ED349" s="15"/>
      <c r="EE349" s="15"/>
      <c r="EF349" s="15"/>
      <c r="EG349" s="15"/>
      <c r="EH349" s="15"/>
      <c r="EI349" s="15"/>
      <c r="EJ349" s="15"/>
      <c r="EK349" s="15"/>
      <c r="EL349" s="15"/>
      <c r="EM349" s="15"/>
      <c r="EN349" s="15"/>
      <c r="EO349" s="15"/>
      <c r="EP349" s="15"/>
      <c r="EQ349" s="15"/>
      <c r="ER349" s="15"/>
      <c r="ES349" s="15"/>
      <c r="ET349" s="15"/>
      <c r="EU349" s="15"/>
      <c r="EV349" s="15"/>
      <c r="EW349" s="15"/>
      <c r="EX349" s="15"/>
      <c r="EY349" s="15"/>
      <c r="EZ349" s="15"/>
      <c r="FA349" s="15"/>
      <c r="FB349" s="15"/>
      <c r="FC349" s="15"/>
      <c r="FD349" s="15"/>
      <c r="FE349" s="15"/>
      <c r="FF349" s="15"/>
      <c r="FG349" s="15"/>
      <c r="FH349" s="15"/>
      <c r="FI349" s="15"/>
      <c r="FJ349" s="15"/>
      <c r="FK349" s="15"/>
      <c r="FL349" s="15"/>
      <c r="FM349" s="15"/>
      <c r="FN349" s="15"/>
      <c r="FO349" s="15"/>
      <c r="FP349" s="15"/>
      <c r="FQ349" s="15"/>
      <c r="FR349" s="15"/>
      <c r="FS349" s="15"/>
      <c r="FT349" s="15"/>
      <c r="FU349" s="15"/>
      <c r="FV349" s="15"/>
    </row>
    <row r="350" spans="22:178" s="2" customFormat="1">
      <c r="V350" s="15"/>
      <c r="DK350" s="15"/>
      <c r="DL350" s="15"/>
      <c r="DM350" s="15"/>
      <c r="DN350" s="15"/>
      <c r="DO350" s="15"/>
      <c r="DP350" s="15"/>
      <c r="DQ350" s="15"/>
      <c r="DR350" s="15"/>
      <c r="DS350" s="15"/>
      <c r="DT350" s="15"/>
      <c r="DU350" s="15"/>
      <c r="DV350" s="15"/>
      <c r="DW350" s="15"/>
      <c r="DX350" s="15"/>
      <c r="DY350" s="15"/>
      <c r="DZ350" s="15"/>
      <c r="EA350" s="15"/>
      <c r="EB350" s="15"/>
      <c r="EC350" s="15"/>
      <c r="ED350" s="15"/>
      <c r="EE350" s="15"/>
      <c r="EF350" s="15"/>
      <c r="EG350" s="15"/>
      <c r="EH350" s="15"/>
      <c r="EI350" s="15"/>
      <c r="EJ350" s="15"/>
      <c r="EK350" s="15"/>
      <c r="EL350" s="15"/>
      <c r="EM350" s="15"/>
      <c r="EN350" s="15"/>
      <c r="EO350" s="15"/>
      <c r="EP350" s="15"/>
      <c r="EQ350" s="15"/>
      <c r="ER350" s="15"/>
      <c r="ES350" s="15"/>
      <c r="ET350" s="15"/>
      <c r="EU350" s="15"/>
      <c r="EV350" s="15"/>
      <c r="EW350" s="15"/>
      <c r="EX350" s="15"/>
      <c r="EY350" s="15"/>
      <c r="EZ350" s="15"/>
      <c r="FA350" s="15"/>
      <c r="FB350" s="15"/>
      <c r="FC350" s="15"/>
      <c r="FD350" s="15"/>
      <c r="FE350" s="15"/>
      <c r="FF350" s="15"/>
      <c r="FG350" s="15"/>
      <c r="FH350" s="15"/>
      <c r="FI350" s="15"/>
      <c r="FJ350" s="15"/>
      <c r="FK350" s="15"/>
      <c r="FL350" s="15"/>
      <c r="FM350" s="15"/>
      <c r="FN350" s="15"/>
      <c r="FO350" s="15"/>
      <c r="FP350" s="15"/>
      <c r="FQ350" s="15"/>
      <c r="FR350" s="15"/>
      <c r="FS350" s="15"/>
      <c r="FT350" s="15"/>
      <c r="FU350" s="15"/>
      <c r="FV350" s="15"/>
    </row>
    <row r="351" spans="22:178" s="2" customFormat="1">
      <c r="V351" s="15"/>
      <c r="DK351" s="15"/>
      <c r="DL351" s="15"/>
      <c r="DM351" s="15"/>
      <c r="DN351" s="15"/>
      <c r="DO351" s="15"/>
      <c r="DP351" s="15"/>
      <c r="DQ351" s="15"/>
      <c r="DR351" s="15"/>
      <c r="DS351" s="15"/>
      <c r="DT351" s="15"/>
      <c r="DU351" s="15"/>
      <c r="DV351" s="15"/>
      <c r="DW351" s="15"/>
      <c r="DX351" s="15"/>
      <c r="DY351" s="15"/>
      <c r="DZ351" s="15"/>
      <c r="EA351" s="15"/>
      <c r="EB351" s="15"/>
      <c r="EC351" s="15"/>
      <c r="ED351" s="15"/>
      <c r="EE351" s="15"/>
      <c r="EF351" s="15"/>
      <c r="EG351" s="15"/>
      <c r="EH351" s="15"/>
      <c r="EI351" s="15"/>
      <c r="EJ351" s="15"/>
      <c r="EK351" s="15"/>
      <c r="EL351" s="15"/>
      <c r="EM351" s="15"/>
      <c r="EN351" s="15"/>
      <c r="EO351" s="15"/>
      <c r="EP351" s="15"/>
      <c r="EQ351" s="15"/>
      <c r="ER351" s="15"/>
      <c r="ES351" s="15"/>
      <c r="ET351" s="15"/>
      <c r="EU351" s="15"/>
      <c r="EV351" s="15"/>
      <c r="EW351" s="15"/>
      <c r="EX351" s="15"/>
      <c r="EY351" s="15"/>
      <c r="EZ351" s="15"/>
      <c r="FA351" s="15"/>
      <c r="FB351" s="15"/>
      <c r="FC351" s="15"/>
      <c r="FD351" s="15"/>
      <c r="FE351" s="15"/>
      <c r="FF351" s="15"/>
      <c r="FG351" s="15"/>
      <c r="FH351" s="15"/>
      <c r="FI351" s="15"/>
      <c r="FJ351" s="15"/>
      <c r="FK351" s="15"/>
      <c r="FL351" s="15"/>
      <c r="FM351" s="15"/>
      <c r="FN351" s="15"/>
      <c r="FO351" s="15"/>
      <c r="FP351" s="15"/>
      <c r="FQ351" s="15"/>
      <c r="FR351" s="15"/>
      <c r="FS351" s="15"/>
      <c r="FT351" s="15"/>
      <c r="FU351" s="15"/>
      <c r="FV351" s="15"/>
    </row>
    <row r="352" spans="22:178" s="2" customFormat="1">
      <c r="V352" s="15"/>
      <c r="DK352" s="15"/>
      <c r="DL352" s="15"/>
      <c r="DM352" s="15"/>
      <c r="DN352" s="15"/>
      <c r="DO352" s="15"/>
      <c r="DP352" s="15"/>
      <c r="DQ352" s="15"/>
      <c r="DR352" s="15"/>
      <c r="DS352" s="15"/>
      <c r="DT352" s="15"/>
      <c r="DU352" s="15"/>
      <c r="DV352" s="15"/>
      <c r="DW352" s="15"/>
      <c r="DX352" s="15"/>
      <c r="DY352" s="15"/>
      <c r="DZ352" s="15"/>
      <c r="EA352" s="15"/>
      <c r="EB352" s="15"/>
      <c r="EC352" s="15"/>
      <c r="ED352" s="15"/>
      <c r="EE352" s="15"/>
      <c r="EF352" s="15"/>
      <c r="EG352" s="15"/>
      <c r="EH352" s="15"/>
      <c r="EI352" s="15"/>
      <c r="EJ352" s="15"/>
      <c r="EK352" s="15"/>
      <c r="EL352" s="15"/>
      <c r="EM352" s="15"/>
      <c r="EN352" s="15"/>
      <c r="EO352" s="15"/>
      <c r="EP352" s="15"/>
      <c r="EQ352" s="15"/>
      <c r="ER352" s="15"/>
      <c r="ES352" s="15"/>
      <c r="ET352" s="15"/>
      <c r="EU352" s="15"/>
      <c r="EV352" s="15"/>
      <c r="EW352" s="15"/>
      <c r="EX352" s="15"/>
      <c r="EY352" s="15"/>
      <c r="EZ352" s="15"/>
      <c r="FA352" s="15"/>
      <c r="FB352" s="15"/>
      <c r="FC352" s="15"/>
      <c r="FD352" s="15"/>
      <c r="FE352" s="15"/>
      <c r="FF352" s="15"/>
      <c r="FG352" s="15"/>
      <c r="FH352" s="15"/>
      <c r="FI352" s="15"/>
      <c r="FJ352" s="15"/>
      <c r="FK352" s="15"/>
      <c r="FL352" s="15"/>
      <c r="FM352" s="15"/>
      <c r="FN352" s="15"/>
      <c r="FO352" s="15"/>
      <c r="FP352" s="15"/>
      <c r="FQ352" s="15"/>
      <c r="FR352" s="15"/>
      <c r="FS352" s="15"/>
      <c r="FT352" s="15"/>
      <c r="FU352" s="15"/>
      <c r="FV352" s="15"/>
    </row>
    <row r="353" spans="22:178" s="2" customFormat="1">
      <c r="V353" s="15"/>
      <c r="DK353" s="15"/>
      <c r="DL353" s="15"/>
      <c r="DM353" s="15"/>
      <c r="DN353" s="15"/>
      <c r="DO353" s="15"/>
      <c r="DP353" s="15"/>
      <c r="DQ353" s="15"/>
      <c r="DR353" s="15"/>
      <c r="DS353" s="15"/>
      <c r="DT353" s="15"/>
      <c r="DU353" s="15"/>
      <c r="DV353" s="15"/>
      <c r="DW353" s="15"/>
      <c r="DX353" s="15"/>
      <c r="DY353" s="15"/>
      <c r="DZ353" s="15"/>
      <c r="EA353" s="15"/>
      <c r="EB353" s="15"/>
      <c r="EC353" s="15"/>
      <c r="ED353" s="15"/>
      <c r="EE353" s="15"/>
      <c r="EF353" s="15"/>
      <c r="EG353" s="15"/>
      <c r="EH353" s="15"/>
      <c r="EI353" s="15"/>
      <c r="EJ353" s="15"/>
      <c r="EK353" s="15"/>
      <c r="EL353" s="15"/>
      <c r="EM353" s="15"/>
      <c r="EN353" s="15"/>
      <c r="EO353" s="15"/>
      <c r="EP353" s="15"/>
      <c r="EQ353" s="15"/>
      <c r="ER353" s="15"/>
      <c r="ES353" s="15"/>
      <c r="ET353" s="15"/>
      <c r="EU353" s="15"/>
      <c r="EV353" s="15"/>
      <c r="EW353" s="15"/>
      <c r="EX353" s="15"/>
      <c r="EY353" s="15"/>
      <c r="EZ353" s="15"/>
      <c r="FA353" s="15"/>
      <c r="FB353" s="15"/>
      <c r="FC353" s="15"/>
      <c r="FD353" s="15"/>
      <c r="FE353" s="15"/>
      <c r="FF353" s="15"/>
      <c r="FG353" s="15"/>
      <c r="FH353" s="15"/>
      <c r="FI353" s="15"/>
      <c r="FJ353" s="15"/>
      <c r="FK353" s="15"/>
      <c r="FL353" s="15"/>
      <c r="FM353" s="15"/>
      <c r="FN353" s="15"/>
      <c r="FO353" s="15"/>
      <c r="FP353" s="15"/>
      <c r="FQ353" s="15"/>
      <c r="FR353" s="15"/>
      <c r="FS353" s="15"/>
      <c r="FT353" s="15"/>
      <c r="FU353" s="15"/>
      <c r="FV353" s="15"/>
    </row>
    <row r="354" spans="22:178" s="2" customFormat="1">
      <c r="V354" s="15"/>
      <c r="DK354" s="15"/>
      <c r="DL354" s="15"/>
      <c r="DM354" s="15"/>
      <c r="DN354" s="15"/>
      <c r="DO354" s="15"/>
      <c r="DP354" s="15"/>
      <c r="DQ354" s="15"/>
      <c r="DR354" s="15"/>
      <c r="DS354" s="15"/>
      <c r="DT354" s="15"/>
      <c r="DU354" s="15"/>
      <c r="DV354" s="15"/>
      <c r="DW354" s="15"/>
      <c r="DX354" s="15"/>
      <c r="DY354" s="15"/>
      <c r="DZ354" s="15"/>
      <c r="EA354" s="15"/>
      <c r="EB354" s="15"/>
      <c r="EC354" s="15"/>
      <c r="ED354" s="15"/>
      <c r="EE354" s="15"/>
      <c r="EF354" s="15"/>
      <c r="EG354" s="15"/>
      <c r="EH354" s="15"/>
      <c r="EI354" s="15"/>
      <c r="EJ354" s="15"/>
      <c r="EK354" s="15"/>
      <c r="EL354" s="15"/>
      <c r="EM354" s="15"/>
      <c r="EN354" s="15"/>
      <c r="EO354" s="15"/>
      <c r="EP354" s="15"/>
      <c r="EQ354" s="15"/>
      <c r="ER354" s="15"/>
      <c r="ES354" s="15"/>
      <c r="ET354" s="15"/>
      <c r="EU354" s="15"/>
      <c r="EV354" s="15"/>
      <c r="EW354" s="15"/>
      <c r="EX354" s="15"/>
      <c r="EY354" s="15"/>
      <c r="EZ354" s="15"/>
      <c r="FA354" s="15"/>
      <c r="FB354" s="15"/>
      <c r="FC354" s="15"/>
      <c r="FD354" s="15"/>
      <c r="FE354" s="15"/>
      <c r="FF354" s="15"/>
      <c r="FG354" s="15"/>
      <c r="FH354" s="15"/>
      <c r="FI354" s="15"/>
      <c r="FJ354" s="15"/>
      <c r="FK354" s="15"/>
      <c r="FL354" s="15"/>
      <c r="FM354" s="15"/>
      <c r="FN354" s="15"/>
      <c r="FO354" s="15"/>
      <c r="FP354" s="15"/>
      <c r="FQ354" s="15"/>
      <c r="FR354" s="15"/>
      <c r="FS354" s="15"/>
      <c r="FT354" s="15"/>
      <c r="FU354" s="15"/>
      <c r="FV354" s="15"/>
    </row>
    <row r="355" spans="22:178" s="2" customFormat="1">
      <c r="V355" s="15"/>
      <c r="DK355" s="15"/>
      <c r="DL355" s="15"/>
      <c r="DM355" s="15"/>
      <c r="DN355" s="15"/>
      <c r="DO355" s="15"/>
      <c r="DP355" s="15"/>
      <c r="DQ355" s="15"/>
      <c r="DR355" s="15"/>
      <c r="DS355" s="15"/>
      <c r="DT355" s="15"/>
      <c r="DU355" s="15"/>
      <c r="DV355" s="15"/>
      <c r="DW355" s="15"/>
      <c r="DX355" s="15"/>
      <c r="DY355" s="15"/>
      <c r="DZ355" s="15"/>
      <c r="EA355" s="15"/>
      <c r="EB355" s="15"/>
      <c r="EC355" s="15"/>
      <c r="ED355" s="15"/>
      <c r="EE355" s="15"/>
      <c r="EF355" s="15"/>
      <c r="EG355" s="15"/>
      <c r="EH355" s="15"/>
      <c r="EI355" s="15"/>
      <c r="EJ355" s="15"/>
      <c r="EK355" s="15"/>
      <c r="EL355" s="15"/>
      <c r="EM355" s="15"/>
      <c r="EN355" s="15"/>
      <c r="EO355" s="15"/>
      <c r="EP355" s="15"/>
      <c r="EQ355" s="15"/>
      <c r="ER355" s="15"/>
      <c r="ES355" s="15"/>
      <c r="ET355" s="15"/>
      <c r="EU355" s="15"/>
      <c r="EV355" s="15"/>
      <c r="EW355" s="15"/>
      <c r="EX355" s="15"/>
      <c r="EY355" s="15"/>
      <c r="EZ355" s="15"/>
      <c r="FA355" s="15"/>
      <c r="FB355" s="15"/>
      <c r="FC355" s="15"/>
      <c r="FD355" s="15"/>
      <c r="FE355" s="15"/>
      <c r="FF355" s="15"/>
      <c r="FG355" s="15"/>
      <c r="FH355" s="15"/>
      <c r="FI355" s="15"/>
      <c r="FJ355" s="15"/>
      <c r="FK355" s="15"/>
      <c r="FL355" s="15"/>
      <c r="FM355" s="15"/>
      <c r="FN355" s="15"/>
      <c r="FO355" s="15"/>
      <c r="FP355" s="15"/>
      <c r="FQ355" s="15"/>
      <c r="FR355" s="15"/>
      <c r="FS355" s="15"/>
      <c r="FT355" s="15"/>
      <c r="FU355" s="15"/>
      <c r="FV355" s="15"/>
    </row>
    <row r="356" spans="22:178" s="2" customFormat="1">
      <c r="V356" s="15"/>
      <c r="DK356" s="15"/>
      <c r="DL356" s="15"/>
      <c r="DM356" s="15"/>
      <c r="DN356" s="15"/>
      <c r="DO356" s="15"/>
      <c r="DP356" s="15"/>
      <c r="DQ356" s="15"/>
      <c r="DR356" s="15"/>
      <c r="DS356" s="15"/>
      <c r="DT356" s="15"/>
      <c r="DU356" s="15"/>
      <c r="DV356" s="15"/>
      <c r="DW356" s="15"/>
      <c r="DX356" s="15"/>
      <c r="DY356" s="15"/>
      <c r="DZ356" s="15"/>
      <c r="EA356" s="15"/>
      <c r="EB356" s="15"/>
      <c r="EC356" s="15"/>
      <c r="ED356" s="15"/>
      <c r="EE356" s="15"/>
      <c r="EF356" s="15"/>
      <c r="EG356" s="15"/>
      <c r="EH356" s="15"/>
      <c r="EI356" s="15"/>
      <c r="EJ356" s="15"/>
      <c r="EK356" s="15"/>
      <c r="EL356" s="15"/>
      <c r="EM356" s="15"/>
      <c r="EN356" s="15"/>
      <c r="EO356" s="15"/>
      <c r="EP356" s="15"/>
      <c r="EQ356" s="15"/>
      <c r="ER356" s="15"/>
      <c r="ES356" s="15"/>
      <c r="ET356" s="15"/>
      <c r="EU356" s="15"/>
      <c r="EV356" s="15"/>
      <c r="EW356" s="15"/>
      <c r="EX356" s="15"/>
      <c r="EY356" s="15"/>
      <c r="EZ356" s="15"/>
      <c r="FA356" s="15"/>
      <c r="FB356" s="15"/>
      <c r="FC356" s="15"/>
      <c r="FD356" s="15"/>
      <c r="FE356" s="15"/>
      <c r="FF356" s="15"/>
      <c r="FG356" s="15"/>
      <c r="FH356" s="15"/>
      <c r="FI356" s="15"/>
      <c r="FJ356" s="15"/>
      <c r="FK356" s="15"/>
      <c r="FL356" s="15"/>
      <c r="FM356" s="15"/>
      <c r="FN356" s="15"/>
      <c r="FO356" s="15"/>
      <c r="FP356" s="15"/>
      <c r="FQ356" s="15"/>
      <c r="FR356" s="15"/>
      <c r="FS356" s="15"/>
      <c r="FT356" s="15"/>
      <c r="FU356" s="15"/>
      <c r="FV356" s="15"/>
    </row>
    <row r="357" spans="22:178" s="2" customFormat="1">
      <c r="V357" s="15"/>
      <c r="DK357" s="15"/>
      <c r="DL357" s="15"/>
      <c r="DM357" s="15"/>
      <c r="DN357" s="15"/>
      <c r="DO357" s="15"/>
      <c r="DP357" s="15"/>
      <c r="DQ357" s="15"/>
      <c r="DR357" s="15"/>
      <c r="DS357" s="15"/>
      <c r="DT357" s="15"/>
      <c r="DU357" s="15"/>
      <c r="DV357" s="15"/>
      <c r="DW357" s="15"/>
      <c r="DX357" s="15"/>
      <c r="DY357" s="15"/>
      <c r="DZ357" s="15"/>
      <c r="EA357" s="15"/>
      <c r="EB357" s="15"/>
      <c r="EC357" s="15"/>
      <c r="ED357" s="15"/>
      <c r="EE357" s="15"/>
      <c r="EF357" s="15"/>
      <c r="EG357" s="15"/>
      <c r="EH357" s="15"/>
      <c r="EI357" s="15"/>
      <c r="EJ357" s="15"/>
      <c r="EK357" s="15"/>
      <c r="EL357" s="15"/>
      <c r="EM357" s="15"/>
      <c r="EN357" s="15"/>
      <c r="EO357" s="15"/>
      <c r="EP357" s="15"/>
      <c r="EQ357" s="15"/>
      <c r="ER357" s="15"/>
      <c r="ES357" s="15"/>
      <c r="ET357" s="15"/>
      <c r="EU357" s="15"/>
      <c r="EV357" s="15"/>
      <c r="EW357" s="15"/>
      <c r="EX357" s="15"/>
      <c r="EY357" s="15"/>
      <c r="EZ357" s="15"/>
      <c r="FA357" s="15"/>
      <c r="FB357" s="15"/>
      <c r="FC357" s="15"/>
      <c r="FD357" s="15"/>
      <c r="FE357" s="15"/>
      <c r="FF357" s="15"/>
      <c r="FG357" s="15"/>
      <c r="FH357" s="15"/>
      <c r="FI357" s="15"/>
      <c r="FJ357" s="15"/>
      <c r="FK357" s="15"/>
      <c r="FL357" s="15"/>
      <c r="FM357" s="15"/>
      <c r="FN357" s="15"/>
      <c r="FO357" s="15"/>
      <c r="FP357" s="15"/>
      <c r="FQ357" s="15"/>
      <c r="FR357" s="15"/>
      <c r="FS357" s="15"/>
      <c r="FT357" s="15"/>
      <c r="FU357" s="15"/>
      <c r="FV357" s="15"/>
    </row>
    <row r="358" spans="22:178" s="2" customFormat="1">
      <c r="V358" s="15"/>
      <c r="DK358" s="15"/>
      <c r="DL358" s="15"/>
      <c r="DM358" s="15"/>
      <c r="DN358" s="15"/>
      <c r="DO358" s="15"/>
      <c r="DP358" s="15"/>
      <c r="DQ358" s="15"/>
      <c r="DR358" s="15"/>
      <c r="DS358" s="15"/>
      <c r="DT358" s="15"/>
      <c r="DU358" s="15"/>
      <c r="DV358" s="15"/>
      <c r="DW358" s="15"/>
      <c r="DX358" s="15"/>
      <c r="DY358" s="15"/>
      <c r="DZ358" s="15"/>
      <c r="EA358" s="15"/>
      <c r="EB358" s="15"/>
      <c r="EC358" s="15"/>
      <c r="ED358" s="15"/>
      <c r="EE358" s="15"/>
      <c r="EF358" s="15"/>
      <c r="EG358" s="15"/>
      <c r="EH358" s="15"/>
      <c r="EI358" s="15"/>
      <c r="EJ358" s="15"/>
      <c r="EK358" s="15"/>
      <c r="EL358" s="15"/>
      <c r="EM358" s="15"/>
      <c r="EN358" s="15"/>
      <c r="EO358" s="15"/>
      <c r="EP358" s="15"/>
      <c r="EQ358" s="15"/>
      <c r="ER358" s="15"/>
      <c r="ES358" s="15"/>
      <c r="ET358" s="15"/>
      <c r="EU358" s="15"/>
      <c r="EV358" s="15"/>
      <c r="EW358" s="15"/>
      <c r="EX358" s="15"/>
      <c r="EY358" s="15"/>
      <c r="EZ358" s="15"/>
      <c r="FA358" s="15"/>
      <c r="FB358" s="15"/>
      <c r="FC358" s="15"/>
      <c r="FD358" s="15"/>
      <c r="FE358" s="15"/>
      <c r="FF358" s="15"/>
      <c r="FG358" s="15"/>
      <c r="FH358" s="15"/>
      <c r="FI358" s="15"/>
      <c r="FJ358" s="15"/>
      <c r="FK358" s="15"/>
      <c r="FL358" s="15"/>
      <c r="FM358" s="15"/>
      <c r="FN358" s="15"/>
      <c r="FO358" s="15"/>
      <c r="FP358" s="15"/>
      <c r="FQ358" s="15"/>
      <c r="FR358" s="15"/>
      <c r="FS358" s="15"/>
      <c r="FT358" s="15"/>
      <c r="FU358" s="15"/>
      <c r="FV358" s="15"/>
    </row>
    <row r="359" spans="22:178" s="2" customFormat="1">
      <c r="V359" s="15"/>
      <c r="DK359" s="15"/>
      <c r="DL359" s="15"/>
      <c r="DM359" s="15"/>
      <c r="DN359" s="15"/>
      <c r="DO359" s="15"/>
      <c r="DP359" s="15"/>
      <c r="DQ359" s="15"/>
      <c r="DR359" s="15"/>
      <c r="DS359" s="15"/>
      <c r="DT359" s="15"/>
      <c r="DU359" s="15"/>
      <c r="DV359" s="15"/>
      <c r="DW359" s="15"/>
      <c r="DX359" s="15"/>
      <c r="DY359" s="15"/>
      <c r="DZ359" s="15"/>
      <c r="EA359" s="15"/>
      <c r="EB359" s="15"/>
      <c r="EC359" s="15"/>
      <c r="ED359" s="15"/>
      <c r="EE359" s="15"/>
      <c r="EF359" s="15"/>
      <c r="EG359" s="15"/>
      <c r="EH359" s="15"/>
      <c r="EI359" s="15"/>
      <c r="EJ359" s="15"/>
      <c r="EK359" s="15"/>
      <c r="EL359" s="15"/>
      <c r="EM359" s="15"/>
      <c r="EN359" s="15"/>
      <c r="EO359" s="15"/>
      <c r="EP359" s="15"/>
      <c r="EQ359" s="15"/>
      <c r="ER359" s="15"/>
      <c r="ES359" s="15"/>
      <c r="ET359" s="15"/>
      <c r="EU359" s="15"/>
      <c r="EV359" s="15"/>
      <c r="EW359" s="15"/>
      <c r="EX359" s="15"/>
      <c r="EY359" s="15"/>
      <c r="EZ359" s="15"/>
      <c r="FA359" s="15"/>
      <c r="FB359" s="15"/>
      <c r="FC359" s="15"/>
      <c r="FD359" s="15"/>
      <c r="FE359" s="15"/>
      <c r="FF359" s="15"/>
      <c r="FG359" s="15"/>
      <c r="FH359" s="15"/>
      <c r="FI359" s="15"/>
      <c r="FJ359" s="15"/>
      <c r="FK359" s="15"/>
      <c r="FL359" s="15"/>
      <c r="FM359" s="15"/>
      <c r="FN359" s="15"/>
      <c r="FO359" s="15"/>
      <c r="FP359" s="15"/>
      <c r="FQ359" s="15"/>
      <c r="FR359" s="15"/>
      <c r="FS359" s="15"/>
      <c r="FT359" s="15"/>
      <c r="FU359" s="15"/>
      <c r="FV359" s="15"/>
    </row>
    <row r="360" spans="22:178" s="2" customFormat="1">
      <c r="V360" s="15"/>
      <c r="DK360" s="15"/>
      <c r="DL360" s="15"/>
      <c r="DM360" s="15"/>
      <c r="DN360" s="15"/>
      <c r="DO360" s="15"/>
      <c r="DP360" s="15"/>
      <c r="DQ360" s="15"/>
      <c r="DR360" s="15"/>
      <c r="DS360" s="15"/>
      <c r="DT360" s="15"/>
      <c r="DU360" s="15"/>
      <c r="DV360" s="15"/>
      <c r="DW360" s="15"/>
      <c r="DX360" s="15"/>
      <c r="DY360" s="15"/>
      <c r="DZ360" s="15"/>
      <c r="EA360" s="15"/>
      <c r="EB360" s="15"/>
      <c r="EC360" s="15"/>
      <c r="ED360" s="15"/>
      <c r="EE360" s="15"/>
      <c r="EF360" s="15"/>
      <c r="EG360" s="15"/>
      <c r="EH360" s="15"/>
      <c r="EI360" s="15"/>
      <c r="EJ360" s="15"/>
      <c r="EK360" s="15"/>
      <c r="EL360" s="15"/>
      <c r="EM360" s="15"/>
      <c r="EN360" s="15"/>
      <c r="EO360" s="15"/>
      <c r="EP360" s="15"/>
      <c r="EQ360" s="15"/>
      <c r="ER360" s="15"/>
      <c r="ES360" s="15"/>
      <c r="ET360" s="15"/>
      <c r="EU360" s="15"/>
      <c r="EV360" s="15"/>
      <c r="EW360" s="15"/>
      <c r="EX360" s="15"/>
      <c r="EY360" s="15"/>
      <c r="EZ360" s="15"/>
      <c r="FA360" s="15"/>
      <c r="FB360" s="15"/>
      <c r="FC360" s="15"/>
      <c r="FD360" s="15"/>
      <c r="FE360" s="15"/>
      <c r="FF360" s="15"/>
      <c r="FG360" s="15"/>
      <c r="FH360" s="15"/>
      <c r="FI360" s="15"/>
      <c r="FJ360" s="15"/>
      <c r="FK360" s="15"/>
      <c r="FL360" s="15"/>
      <c r="FM360" s="15"/>
      <c r="FN360" s="15"/>
      <c r="FO360" s="15"/>
      <c r="FP360" s="15"/>
      <c r="FQ360" s="15"/>
      <c r="FR360" s="15"/>
      <c r="FS360" s="15"/>
      <c r="FT360" s="15"/>
      <c r="FU360" s="15"/>
      <c r="FV360" s="15"/>
    </row>
    <row r="361" spans="22:178" s="2" customFormat="1">
      <c r="V361" s="15"/>
      <c r="DK361" s="15"/>
      <c r="DL361" s="15"/>
      <c r="DM361" s="15"/>
      <c r="DN361" s="15"/>
      <c r="DO361" s="15"/>
      <c r="DP361" s="15"/>
      <c r="DQ361" s="15"/>
      <c r="DR361" s="15"/>
      <c r="DS361" s="15"/>
      <c r="DT361" s="15"/>
      <c r="DU361" s="15"/>
      <c r="DV361" s="15"/>
      <c r="DW361" s="15"/>
      <c r="DX361" s="15"/>
      <c r="DY361" s="15"/>
      <c r="DZ361" s="15"/>
      <c r="EA361" s="15"/>
      <c r="EB361" s="15"/>
      <c r="EC361" s="15"/>
      <c r="ED361" s="15"/>
      <c r="EE361" s="15"/>
      <c r="EF361" s="15"/>
      <c r="EG361" s="15"/>
      <c r="EH361" s="15"/>
      <c r="EI361" s="15"/>
      <c r="EJ361" s="15"/>
      <c r="EK361" s="15"/>
      <c r="EL361" s="15"/>
      <c r="EM361" s="15"/>
      <c r="EN361" s="15"/>
      <c r="EO361" s="15"/>
      <c r="EP361" s="15"/>
      <c r="EQ361" s="15"/>
      <c r="ER361" s="15"/>
      <c r="ES361" s="15"/>
      <c r="ET361" s="15"/>
      <c r="EU361" s="15"/>
      <c r="EV361" s="15"/>
      <c r="EW361" s="15"/>
      <c r="EX361" s="15"/>
      <c r="EY361" s="15"/>
      <c r="EZ361" s="15"/>
      <c r="FA361" s="15"/>
      <c r="FB361" s="15"/>
      <c r="FC361" s="15"/>
      <c r="FD361" s="15"/>
      <c r="FE361" s="15"/>
      <c r="FF361" s="15"/>
      <c r="FG361" s="15"/>
      <c r="FH361" s="15"/>
      <c r="FI361" s="15"/>
      <c r="FJ361" s="15"/>
      <c r="FK361" s="15"/>
      <c r="FL361" s="15"/>
      <c r="FM361" s="15"/>
      <c r="FN361" s="15"/>
      <c r="FO361" s="15"/>
      <c r="FP361" s="15"/>
      <c r="FQ361" s="15"/>
      <c r="FR361" s="15"/>
      <c r="FS361" s="15"/>
      <c r="FT361" s="15"/>
      <c r="FU361" s="15"/>
      <c r="FV361" s="15"/>
    </row>
    <row r="362" spans="22:178" s="2" customFormat="1">
      <c r="V362" s="15"/>
      <c r="DK362" s="15"/>
      <c r="DL362" s="15"/>
      <c r="DM362" s="15"/>
      <c r="DN362" s="15"/>
      <c r="DO362" s="15"/>
      <c r="DP362" s="15"/>
      <c r="DQ362" s="15"/>
      <c r="DR362" s="15"/>
      <c r="DS362" s="15"/>
      <c r="DT362" s="15"/>
      <c r="DU362" s="15"/>
      <c r="DV362" s="15"/>
      <c r="DW362" s="15"/>
      <c r="DX362" s="15"/>
      <c r="DY362" s="15"/>
      <c r="DZ362" s="15"/>
      <c r="EA362" s="15"/>
      <c r="EB362" s="15"/>
      <c r="EC362" s="15"/>
      <c r="ED362" s="15"/>
      <c r="EE362" s="15"/>
      <c r="EF362" s="15"/>
      <c r="EG362" s="15"/>
      <c r="EH362" s="15"/>
      <c r="EI362" s="15"/>
      <c r="EJ362" s="15"/>
      <c r="EK362" s="15"/>
      <c r="EL362" s="15"/>
      <c r="EM362" s="15"/>
      <c r="EN362" s="15"/>
      <c r="EO362" s="15"/>
      <c r="EP362" s="15"/>
      <c r="EQ362" s="15"/>
      <c r="ER362" s="15"/>
      <c r="ES362" s="15"/>
      <c r="ET362" s="15"/>
      <c r="EU362" s="15"/>
      <c r="EV362" s="15"/>
      <c r="EW362" s="15"/>
      <c r="EX362" s="15"/>
      <c r="EY362" s="15"/>
      <c r="EZ362" s="15"/>
      <c r="FA362" s="15"/>
      <c r="FB362" s="15"/>
      <c r="FC362" s="15"/>
      <c r="FD362" s="15"/>
      <c r="FE362" s="15"/>
      <c r="FF362" s="15"/>
      <c r="FG362" s="15"/>
      <c r="FH362" s="15"/>
      <c r="FI362" s="15"/>
      <c r="FJ362" s="15"/>
      <c r="FK362" s="15"/>
      <c r="FL362" s="15"/>
      <c r="FM362" s="15"/>
      <c r="FN362" s="15"/>
      <c r="FO362" s="15"/>
      <c r="FP362" s="15"/>
      <c r="FQ362" s="15"/>
      <c r="FR362" s="15"/>
      <c r="FS362" s="15"/>
      <c r="FT362" s="15"/>
      <c r="FU362" s="15"/>
      <c r="FV362" s="15"/>
    </row>
    <row r="363" spans="22:178" s="2" customFormat="1">
      <c r="V363" s="15"/>
      <c r="DK363" s="15"/>
      <c r="DL363" s="15"/>
      <c r="DM363" s="15"/>
      <c r="DN363" s="15"/>
      <c r="DO363" s="15"/>
      <c r="DP363" s="15"/>
      <c r="DQ363" s="15"/>
      <c r="DR363" s="15"/>
      <c r="DS363" s="15"/>
      <c r="DT363" s="15"/>
      <c r="DU363" s="15"/>
      <c r="DV363" s="15"/>
      <c r="DW363" s="15"/>
      <c r="DX363" s="15"/>
      <c r="DY363" s="15"/>
      <c r="DZ363" s="15"/>
      <c r="EA363" s="15"/>
      <c r="EB363" s="15"/>
      <c r="EC363" s="15"/>
      <c r="ED363" s="15"/>
      <c r="EE363" s="15"/>
      <c r="EF363" s="15"/>
      <c r="EG363" s="15"/>
      <c r="EH363" s="15"/>
      <c r="EI363" s="15"/>
      <c r="EJ363" s="15"/>
      <c r="EK363" s="15"/>
      <c r="EL363" s="15"/>
      <c r="EM363" s="15"/>
      <c r="EN363" s="15"/>
      <c r="EO363" s="15"/>
      <c r="EP363" s="15"/>
      <c r="EQ363" s="15"/>
      <c r="ER363" s="15"/>
      <c r="ES363" s="15"/>
      <c r="ET363" s="15"/>
      <c r="EU363" s="15"/>
      <c r="EV363" s="15"/>
      <c r="EW363" s="15"/>
      <c r="EX363" s="15"/>
      <c r="EY363" s="15"/>
      <c r="EZ363" s="15"/>
      <c r="FA363" s="15"/>
      <c r="FB363" s="15"/>
      <c r="FC363" s="15"/>
      <c r="FD363" s="15"/>
      <c r="FE363" s="15"/>
      <c r="FF363" s="15"/>
      <c r="FG363" s="15"/>
      <c r="FH363" s="15"/>
      <c r="FI363" s="15"/>
      <c r="FJ363" s="15"/>
      <c r="FK363" s="15"/>
      <c r="FL363" s="15"/>
      <c r="FM363" s="15"/>
      <c r="FN363" s="15"/>
      <c r="FO363" s="15"/>
      <c r="FP363" s="15"/>
      <c r="FQ363" s="15"/>
      <c r="FR363" s="15"/>
      <c r="FS363" s="15"/>
      <c r="FT363" s="15"/>
      <c r="FU363" s="15"/>
      <c r="FV363" s="15"/>
    </row>
    <row r="364" spans="22:178" s="2" customFormat="1">
      <c r="V364" s="15"/>
      <c r="DK364" s="15"/>
      <c r="DL364" s="15"/>
      <c r="DM364" s="15"/>
      <c r="DN364" s="15"/>
      <c r="DO364" s="15"/>
      <c r="DP364" s="15"/>
      <c r="DQ364" s="15"/>
      <c r="DR364" s="15"/>
      <c r="DS364" s="15"/>
      <c r="DT364" s="15"/>
      <c r="DU364" s="15"/>
      <c r="DV364" s="15"/>
      <c r="DW364" s="15"/>
      <c r="DX364" s="15"/>
      <c r="DY364" s="15"/>
      <c r="DZ364" s="15"/>
      <c r="EA364" s="15"/>
      <c r="EB364" s="15"/>
      <c r="EC364" s="15"/>
      <c r="ED364" s="15"/>
      <c r="EE364" s="15"/>
      <c r="EF364" s="15"/>
      <c r="EG364" s="15"/>
      <c r="EH364" s="15"/>
      <c r="EI364" s="15"/>
      <c r="EJ364" s="15"/>
      <c r="EK364" s="15"/>
      <c r="EL364" s="15"/>
      <c r="EM364" s="15"/>
      <c r="EN364" s="15"/>
      <c r="EO364" s="15"/>
      <c r="EP364" s="15"/>
      <c r="EQ364" s="15"/>
      <c r="ER364" s="15"/>
      <c r="ES364" s="15"/>
      <c r="ET364" s="15"/>
      <c r="EU364" s="15"/>
      <c r="EV364" s="15"/>
      <c r="EW364" s="15"/>
      <c r="EX364" s="15"/>
      <c r="EY364" s="15"/>
      <c r="EZ364" s="15"/>
      <c r="FA364" s="15"/>
      <c r="FB364" s="15"/>
      <c r="FC364" s="15"/>
      <c r="FD364" s="15"/>
      <c r="FE364" s="15"/>
      <c r="FF364" s="15"/>
      <c r="FG364" s="15"/>
      <c r="FH364" s="15"/>
      <c r="FI364" s="15"/>
      <c r="FJ364" s="15"/>
      <c r="FK364" s="15"/>
      <c r="FL364" s="15"/>
      <c r="FM364" s="15"/>
      <c r="FN364" s="15"/>
      <c r="FO364" s="15"/>
      <c r="FP364" s="15"/>
      <c r="FQ364" s="15"/>
      <c r="FR364" s="15"/>
      <c r="FS364" s="15"/>
      <c r="FT364" s="15"/>
      <c r="FU364" s="15"/>
      <c r="FV364" s="15"/>
    </row>
    <row r="365" spans="22:178" s="2" customFormat="1">
      <c r="V365" s="15"/>
      <c r="DK365" s="15"/>
      <c r="DL365" s="15"/>
      <c r="DM365" s="15"/>
      <c r="DN365" s="15"/>
      <c r="DO365" s="15"/>
      <c r="DP365" s="15"/>
      <c r="DQ365" s="15"/>
      <c r="DR365" s="15"/>
      <c r="DS365" s="15"/>
      <c r="DT365" s="15"/>
      <c r="DU365" s="15"/>
      <c r="DV365" s="15"/>
      <c r="DW365" s="15"/>
      <c r="DX365" s="15"/>
      <c r="DY365" s="15"/>
      <c r="DZ365" s="15"/>
      <c r="EA365" s="15"/>
      <c r="EB365" s="15"/>
      <c r="EC365" s="15"/>
      <c r="ED365" s="15"/>
      <c r="EE365" s="15"/>
      <c r="EF365" s="15"/>
      <c r="EG365" s="15"/>
      <c r="EH365" s="15"/>
      <c r="EI365" s="15"/>
      <c r="EJ365" s="15"/>
      <c r="EK365" s="15"/>
      <c r="EL365" s="15"/>
      <c r="EM365" s="15"/>
      <c r="EN365" s="15"/>
      <c r="EO365" s="15"/>
      <c r="EP365" s="15"/>
      <c r="EQ365" s="15"/>
      <c r="ER365" s="15"/>
      <c r="ES365" s="15"/>
      <c r="ET365" s="15"/>
      <c r="EU365" s="15"/>
      <c r="EV365" s="15"/>
      <c r="EW365" s="15"/>
      <c r="EX365" s="15"/>
      <c r="EY365" s="15"/>
      <c r="EZ365" s="15"/>
      <c r="FA365" s="15"/>
      <c r="FB365" s="15"/>
      <c r="FC365" s="15"/>
      <c r="FD365" s="15"/>
      <c r="FE365" s="15"/>
      <c r="FF365" s="15"/>
      <c r="FG365" s="15"/>
      <c r="FH365" s="15"/>
      <c r="FI365" s="15"/>
      <c r="FJ365" s="15"/>
      <c r="FK365" s="15"/>
      <c r="FL365" s="15"/>
      <c r="FM365" s="15"/>
      <c r="FN365" s="15"/>
      <c r="FO365" s="15"/>
      <c r="FP365" s="15"/>
      <c r="FQ365" s="15"/>
      <c r="FR365" s="15"/>
      <c r="FS365" s="15"/>
      <c r="FT365" s="15"/>
      <c r="FU365" s="15"/>
      <c r="FV365" s="15"/>
    </row>
    <row r="366" spans="22:178" s="2" customFormat="1">
      <c r="V366" s="15"/>
      <c r="DK366" s="15"/>
      <c r="DL366" s="15"/>
      <c r="DM366" s="15"/>
      <c r="DN366" s="15"/>
      <c r="DO366" s="15"/>
      <c r="DP366" s="15"/>
      <c r="DQ366" s="15"/>
      <c r="DR366" s="15"/>
      <c r="DS366" s="15"/>
      <c r="DT366" s="15"/>
      <c r="DU366" s="15"/>
      <c r="DV366" s="15"/>
      <c r="DW366" s="15"/>
      <c r="DX366" s="15"/>
      <c r="DY366" s="15"/>
      <c r="DZ366" s="15"/>
      <c r="EA366" s="15"/>
      <c r="EB366" s="15"/>
      <c r="EC366" s="15"/>
      <c r="ED366" s="15"/>
      <c r="EE366" s="15"/>
      <c r="EF366" s="15"/>
      <c r="EG366" s="15"/>
      <c r="EH366" s="15"/>
      <c r="EI366" s="15"/>
      <c r="EJ366" s="15"/>
      <c r="EK366" s="15"/>
      <c r="EL366" s="15"/>
      <c r="EM366" s="15"/>
      <c r="EN366" s="15"/>
      <c r="EO366" s="15"/>
      <c r="EP366" s="15"/>
      <c r="EQ366" s="15"/>
      <c r="ER366" s="15"/>
      <c r="ES366" s="15"/>
      <c r="ET366" s="15"/>
      <c r="EU366" s="15"/>
      <c r="EV366" s="15"/>
      <c r="EW366" s="15"/>
      <c r="EX366" s="15"/>
      <c r="EY366" s="15"/>
      <c r="EZ366" s="15"/>
      <c r="FA366" s="15"/>
      <c r="FB366" s="15"/>
      <c r="FC366" s="15"/>
      <c r="FD366" s="15"/>
      <c r="FE366" s="15"/>
      <c r="FF366" s="15"/>
      <c r="FG366" s="15"/>
      <c r="FH366" s="15"/>
      <c r="FI366" s="15"/>
      <c r="FJ366" s="15"/>
      <c r="FK366" s="15"/>
      <c r="FL366" s="15"/>
      <c r="FM366" s="15"/>
      <c r="FN366" s="15"/>
      <c r="FO366" s="15"/>
      <c r="FP366" s="15"/>
      <c r="FQ366" s="15"/>
      <c r="FR366" s="15"/>
      <c r="FS366" s="15"/>
      <c r="FT366" s="15"/>
      <c r="FU366" s="15"/>
      <c r="FV366" s="15"/>
    </row>
    <row r="367" spans="22:178" s="2" customFormat="1">
      <c r="V367" s="15"/>
      <c r="DK367" s="15"/>
      <c r="DL367" s="15"/>
      <c r="DM367" s="15"/>
      <c r="DN367" s="15"/>
      <c r="DO367" s="15"/>
      <c r="DP367" s="15"/>
      <c r="DQ367" s="15"/>
      <c r="DR367" s="15"/>
      <c r="DS367" s="15"/>
      <c r="DT367" s="15"/>
      <c r="DU367" s="15"/>
      <c r="DV367" s="15"/>
      <c r="DW367" s="15"/>
      <c r="DX367" s="15"/>
      <c r="DY367" s="15"/>
      <c r="DZ367" s="15"/>
      <c r="EA367" s="15"/>
      <c r="EB367" s="15"/>
      <c r="EC367" s="15"/>
      <c r="ED367" s="15"/>
      <c r="EE367" s="15"/>
      <c r="EF367" s="15"/>
      <c r="EG367" s="15"/>
      <c r="EH367" s="15"/>
      <c r="EI367" s="15"/>
      <c r="EJ367" s="15"/>
      <c r="EK367" s="15"/>
      <c r="EL367" s="15"/>
      <c r="EM367" s="15"/>
      <c r="EN367" s="15"/>
      <c r="EO367" s="15"/>
      <c r="EP367" s="15"/>
      <c r="EQ367" s="15"/>
      <c r="ER367" s="15"/>
      <c r="ES367" s="15"/>
      <c r="ET367" s="15"/>
      <c r="EU367" s="15"/>
      <c r="EV367" s="15"/>
      <c r="EW367" s="15"/>
      <c r="EX367" s="15"/>
      <c r="EY367" s="15"/>
      <c r="EZ367" s="15"/>
      <c r="FA367" s="15"/>
      <c r="FB367" s="15"/>
      <c r="FC367" s="15"/>
      <c r="FD367" s="15"/>
      <c r="FE367" s="15"/>
      <c r="FF367" s="15"/>
      <c r="FG367" s="15"/>
      <c r="FH367" s="15"/>
      <c r="FI367" s="15"/>
      <c r="FJ367" s="15"/>
      <c r="FK367" s="15"/>
      <c r="FL367" s="15"/>
      <c r="FM367" s="15"/>
      <c r="FN367" s="15"/>
      <c r="FO367" s="15"/>
      <c r="FP367" s="15"/>
      <c r="FQ367" s="15"/>
      <c r="FR367" s="15"/>
      <c r="FS367" s="15"/>
      <c r="FT367" s="15"/>
      <c r="FU367" s="15"/>
      <c r="FV367" s="15"/>
    </row>
    <row r="368" spans="22:178" s="2" customFormat="1">
      <c r="V368" s="15"/>
      <c r="DK368" s="15"/>
      <c r="DL368" s="15"/>
      <c r="DM368" s="15"/>
      <c r="DN368" s="15"/>
      <c r="DO368" s="15"/>
      <c r="DP368" s="15"/>
      <c r="DQ368" s="15"/>
      <c r="DR368" s="15"/>
      <c r="DS368" s="15"/>
      <c r="DT368" s="15"/>
      <c r="DU368" s="15"/>
      <c r="DV368" s="15"/>
      <c r="DW368" s="15"/>
      <c r="DX368" s="15"/>
      <c r="DY368" s="15"/>
      <c r="DZ368" s="15"/>
      <c r="EA368" s="15"/>
      <c r="EB368" s="15"/>
      <c r="EC368" s="15"/>
      <c r="ED368" s="15"/>
      <c r="EE368" s="15"/>
      <c r="EF368" s="15"/>
      <c r="EG368" s="15"/>
      <c r="EH368" s="15"/>
      <c r="EI368" s="15"/>
      <c r="EJ368" s="15"/>
      <c r="EK368" s="15"/>
      <c r="EL368" s="15"/>
      <c r="EM368" s="15"/>
      <c r="EN368" s="15"/>
      <c r="EO368" s="15"/>
      <c r="EP368" s="15"/>
      <c r="EQ368" s="15"/>
      <c r="ER368" s="15"/>
      <c r="ES368" s="15"/>
      <c r="ET368" s="15"/>
      <c r="EU368" s="15"/>
      <c r="EV368" s="15"/>
      <c r="EW368" s="15"/>
      <c r="EX368" s="15"/>
      <c r="EY368" s="15"/>
      <c r="EZ368" s="15"/>
      <c r="FA368" s="15"/>
      <c r="FB368" s="15"/>
      <c r="FC368" s="15"/>
      <c r="FD368" s="15"/>
      <c r="FE368" s="15"/>
      <c r="FF368" s="15"/>
      <c r="FG368" s="15"/>
      <c r="FH368" s="15"/>
      <c r="FI368" s="15"/>
      <c r="FJ368" s="15"/>
      <c r="FK368" s="15"/>
      <c r="FL368" s="15"/>
      <c r="FM368" s="15"/>
      <c r="FN368" s="15"/>
      <c r="FO368" s="15"/>
      <c r="FP368" s="15"/>
      <c r="FQ368" s="15"/>
      <c r="FR368" s="15"/>
      <c r="FS368" s="15"/>
      <c r="FT368" s="15"/>
      <c r="FU368" s="15"/>
      <c r="FV368" s="15"/>
    </row>
    <row r="369" spans="22:178" s="2" customFormat="1">
      <c r="V369" s="15"/>
      <c r="DK369" s="15"/>
      <c r="DL369" s="15"/>
      <c r="DM369" s="15"/>
      <c r="DN369" s="15"/>
      <c r="DO369" s="15"/>
      <c r="DP369" s="15"/>
      <c r="DQ369" s="15"/>
      <c r="DR369" s="15"/>
      <c r="DS369" s="15"/>
      <c r="DT369" s="15"/>
      <c r="DU369" s="15"/>
      <c r="DV369" s="15"/>
      <c r="DW369" s="15"/>
      <c r="DX369" s="15"/>
      <c r="DY369" s="15"/>
      <c r="DZ369" s="15"/>
      <c r="EA369" s="15"/>
      <c r="EB369" s="15"/>
      <c r="EC369" s="15"/>
      <c r="ED369" s="15"/>
      <c r="EE369" s="15"/>
      <c r="EF369" s="15"/>
      <c r="EG369" s="15"/>
      <c r="EH369" s="15"/>
      <c r="EI369" s="15"/>
      <c r="EJ369" s="15"/>
      <c r="EK369" s="15"/>
      <c r="EL369" s="15"/>
      <c r="EM369" s="15"/>
      <c r="EN369" s="15"/>
      <c r="EO369" s="15"/>
      <c r="EP369" s="15"/>
      <c r="EQ369" s="15"/>
      <c r="ER369" s="15"/>
      <c r="ES369" s="15"/>
      <c r="ET369" s="15"/>
      <c r="EU369" s="15"/>
      <c r="EV369" s="15"/>
      <c r="EW369" s="15"/>
      <c r="EX369" s="15"/>
      <c r="EY369" s="15"/>
      <c r="EZ369" s="15"/>
      <c r="FA369" s="15"/>
      <c r="FB369" s="15"/>
      <c r="FC369" s="15"/>
      <c r="FD369" s="15"/>
      <c r="FE369" s="15"/>
      <c r="FF369" s="15"/>
      <c r="FG369" s="15"/>
      <c r="FH369" s="15"/>
      <c r="FI369" s="15"/>
      <c r="FJ369" s="15"/>
      <c r="FK369" s="15"/>
      <c r="FL369" s="15"/>
      <c r="FM369" s="15"/>
      <c r="FN369" s="15"/>
      <c r="FO369" s="15"/>
      <c r="FP369" s="15"/>
      <c r="FQ369" s="15"/>
      <c r="FR369" s="15"/>
      <c r="FS369" s="15"/>
      <c r="FT369" s="15"/>
      <c r="FU369" s="15"/>
      <c r="FV369" s="15"/>
    </row>
    <row r="370" spans="22:178" s="2" customFormat="1">
      <c r="V370" s="15"/>
      <c r="DK370" s="15"/>
      <c r="DL370" s="15"/>
      <c r="DM370" s="15"/>
      <c r="DN370" s="15"/>
      <c r="DO370" s="15"/>
      <c r="DP370" s="15"/>
      <c r="DQ370" s="15"/>
      <c r="DR370" s="15"/>
      <c r="DS370" s="15"/>
      <c r="DT370" s="15"/>
      <c r="DU370" s="15"/>
      <c r="DV370" s="15"/>
      <c r="DW370" s="15"/>
      <c r="DX370" s="15"/>
      <c r="DY370" s="15"/>
      <c r="DZ370" s="15"/>
      <c r="EA370" s="15"/>
      <c r="EB370" s="15"/>
      <c r="EC370" s="15"/>
      <c r="ED370" s="15"/>
      <c r="EE370" s="15"/>
      <c r="EF370" s="15"/>
      <c r="EG370" s="15"/>
      <c r="EH370" s="15"/>
      <c r="EI370" s="15"/>
      <c r="EJ370" s="15"/>
      <c r="EK370" s="15"/>
      <c r="EL370" s="15"/>
      <c r="EM370" s="15"/>
      <c r="EN370" s="15"/>
      <c r="EO370" s="15"/>
      <c r="EP370" s="15"/>
      <c r="EQ370" s="15"/>
      <c r="ER370" s="15"/>
      <c r="ES370" s="15"/>
      <c r="ET370" s="15"/>
      <c r="EU370" s="15"/>
      <c r="EV370" s="15"/>
      <c r="EW370" s="15"/>
      <c r="EX370" s="15"/>
      <c r="EY370" s="15"/>
      <c r="EZ370" s="15"/>
      <c r="FA370" s="15"/>
      <c r="FB370" s="15"/>
      <c r="FC370" s="15"/>
      <c r="FD370" s="15"/>
      <c r="FE370" s="15"/>
      <c r="FF370" s="15"/>
      <c r="FG370" s="15"/>
      <c r="FH370" s="15"/>
      <c r="FI370" s="15"/>
      <c r="FJ370" s="15"/>
      <c r="FK370" s="15"/>
      <c r="FL370" s="15"/>
      <c r="FM370" s="15"/>
      <c r="FN370" s="15"/>
      <c r="FO370" s="15"/>
      <c r="FP370" s="15"/>
      <c r="FQ370" s="15"/>
      <c r="FR370" s="15"/>
      <c r="FS370" s="15"/>
      <c r="FT370" s="15"/>
      <c r="FU370" s="15"/>
      <c r="FV370" s="15"/>
    </row>
    <row r="371" spans="22:178" s="2" customFormat="1">
      <c r="V371" s="15"/>
      <c r="DK371" s="15"/>
      <c r="DL371" s="15"/>
      <c r="DM371" s="15"/>
      <c r="DN371" s="15"/>
      <c r="DO371" s="15"/>
      <c r="DP371" s="15"/>
      <c r="DQ371" s="15"/>
      <c r="DR371" s="15"/>
      <c r="DS371" s="15"/>
      <c r="DT371" s="15"/>
      <c r="DU371" s="15"/>
      <c r="DV371" s="15"/>
      <c r="DW371" s="15"/>
      <c r="DX371" s="15"/>
      <c r="DY371" s="15"/>
      <c r="DZ371" s="15"/>
      <c r="EA371" s="15"/>
      <c r="EB371" s="15"/>
      <c r="EC371" s="15"/>
      <c r="ED371" s="15"/>
      <c r="EE371" s="15"/>
      <c r="EF371" s="15"/>
      <c r="EG371" s="15"/>
      <c r="EH371" s="15"/>
      <c r="EI371" s="15"/>
      <c r="EJ371" s="15"/>
      <c r="EK371" s="15"/>
      <c r="EL371" s="15"/>
      <c r="EM371" s="15"/>
      <c r="EN371" s="15"/>
      <c r="EO371" s="15"/>
      <c r="EP371" s="15"/>
      <c r="EQ371" s="15"/>
      <c r="ER371" s="15"/>
      <c r="ES371" s="15"/>
      <c r="ET371" s="15"/>
      <c r="EU371" s="15"/>
      <c r="EV371" s="15"/>
      <c r="EW371" s="15"/>
      <c r="EX371" s="15"/>
      <c r="EY371" s="15"/>
      <c r="EZ371" s="15"/>
      <c r="FA371" s="15"/>
      <c r="FB371" s="15"/>
      <c r="FC371" s="15"/>
      <c r="FD371" s="15"/>
      <c r="FE371" s="15"/>
      <c r="FF371" s="15"/>
      <c r="FG371" s="15"/>
      <c r="FH371" s="15"/>
      <c r="FI371" s="15"/>
      <c r="FJ371" s="15"/>
      <c r="FK371" s="15"/>
      <c r="FL371" s="15"/>
      <c r="FM371" s="15"/>
      <c r="FN371" s="15"/>
      <c r="FO371" s="15"/>
      <c r="FP371" s="15"/>
      <c r="FQ371" s="15"/>
      <c r="FR371" s="15"/>
      <c r="FS371" s="15"/>
      <c r="FT371" s="15"/>
      <c r="FU371" s="15"/>
      <c r="FV371" s="15"/>
    </row>
    <row r="372" spans="22:178" s="2" customFormat="1">
      <c r="V372" s="15"/>
      <c r="DK372" s="15"/>
      <c r="DL372" s="15"/>
      <c r="DM372" s="15"/>
      <c r="DN372" s="15"/>
      <c r="DO372" s="15"/>
      <c r="DP372" s="15"/>
      <c r="DQ372" s="15"/>
      <c r="DR372" s="15"/>
      <c r="DS372" s="15"/>
      <c r="DT372" s="15"/>
      <c r="DU372" s="15"/>
      <c r="DV372" s="15"/>
      <c r="DW372" s="15"/>
      <c r="DX372" s="15"/>
      <c r="DY372" s="15"/>
      <c r="DZ372" s="15"/>
      <c r="EA372" s="15"/>
      <c r="EB372" s="15"/>
      <c r="EC372" s="15"/>
      <c r="ED372" s="15"/>
      <c r="EE372" s="15"/>
      <c r="EF372" s="15"/>
      <c r="EG372" s="15"/>
      <c r="EH372" s="15"/>
      <c r="EI372" s="15"/>
      <c r="EJ372" s="15"/>
      <c r="EK372" s="15"/>
      <c r="EL372" s="15"/>
      <c r="EM372" s="15"/>
      <c r="EN372" s="15"/>
      <c r="EO372" s="15"/>
      <c r="EP372" s="15"/>
      <c r="EQ372" s="15"/>
      <c r="ER372" s="15"/>
      <c r="ES372" s="15"/>
      <c r="ET372" s="15"/>
      <c r="EU372" s="15"/>
      <c r="EV372" s="15"/>
      <c r="EW372" s="15"/>
      <c r="EX372" s="15"/>
      <c r="EY372" s="15"/>
      <c r="EZ372" s="15"/>
      <c r="FA372" s="15"/>
      <c r="FB372" s="15"/>
      <c r="FC372" s="15"/>
      <c r="FD372" s="15"/>
      <c r="FE372" s="15"/>
      <c r="FF372" s="15"/>
      <c r="FG372" s="15"/>
      <c r="FH372" s="15"/>
      <c r="FI372" s="15"/>
      <c r="FJ372" s="15"/>
      <c r="FK372" s="15"/>
      <c r="FL372" s="15"/>
      <c r="FM372" s="15"/>
      <c r="FN372" s="15"/>
      <c r="FO372" s="15"/>
      <c r="FP372" s="15"/>
      <c r="FQ372" s="15"/>
      <c r="FR372" s="15"/>
      <c r="FS372" s="15"/>
      <c r="FT372" s="15"/>
      <c r="FU372" s="15"/>
      <c r="FV372" s="15"/>
    </row>
    <row r="373" spans="22:178" s="2" customFormat="1">
      <c r="V373" s="15"/>
      <c r="DK373" s="15"/>
      <c r="DL373" s="15"/>
      <c r="DM373" s="15"/>
      <c r="DN373" s="15"/>
      <c r="DO373" s="15"/>
      <c r="DP373" s="15"/>
      <c r="DQ373" s="15"/>
      <c r="DR373" s="15"/>
      <c r="DS373" s="15"/>
      <c r="DT373" s="15"/>
      <c r="DU373" s="15"/>
      <c r="DV373" s="15"/>
      <c r="DW373" s="15"/>
      <c r="DX373" s="15"/>
      <c r="DY373" s="15"/>
      <c r="DZ373" s="15"/>
      <c r="EA373" s="15"/>
      <c r="EB373" s="15"/>
      <c r="EC373" s="15"/>
      <c r="ED373" s="15"/>
      <c r="EE373" s="15"/>
      <c r="EF373" s="15"/>
      <c r="EG373" s="15"/>
      <c r="EH373" s="15"/>
      <c r="EI373" s="15"/>
      <c r="EJ373" s="15"/>
      <c r="EK373" s="15"/>
      <c r="EL373" s="15"/>
      <c r="EM373" s="15"/>
      <c r="EN373" s="15"/>
      <c r="EO373" s="15"/>
      <c r="EP373" s="15"/>
      <c r="EQ373" s="15"/>
      <c r="ER373" s="15"/>
      <c r="ES373" s="15"/>
      <c r="ET373" s="15"/>
      <c r="EU373" s="15"/>
      <c r="EV373" s="15"/>
      <c r="EW373" s="15"/>
      <c r="EX373" s="15"/>
      <c r="EY373" s="15"/>
      <c r="EZ373" s="15"/>
      <c r="FA373" s="15"/>
      <c r="FB373" s="15"/>
      <c r="FC373" s="15"/>
      <c r="FD373" s="15"/>
      <c r="FE373" s="15"/>
      <c r="FF373" s="15"/>
      <c r="FG373" s="15"/>
      <c r="FH373" s="15"/>
      <c r="FI373" s="15"/>
      <c r="FJ373" s="15"/>
      <c r="FK373" s="15"/>
      <c r="FL373" s="15"/>
      <c r="FM373" s="15"/>
      <c r="FN373" s="15"/>
      <c r="FO373" s="15"/>
      <c r="FP373" s="15"/>
      <c r="FQ373" s="15"/>
      <c r="FR373" s="15"/>
      <c r="FS373" s="15"/>
      <c r="FT373" s="15"/>
      <c r="FU373" s="15"/>
      <c r="FV373" s="15"/>
    </row>
    <row r="374" spans="22:178" s="2" customFormat="1">
      <c r="V374" s="15"/>
      <c r="DK374" s="15"/>
      <c r="DL374" s="15"/>
      <c r="DM374" s="15"/>
      <c r="DN374" s="15"/>
      <c r="DO374" s="15"/>
      <c r="DP374" s="15"/>
      <c r="DQ374" s="15"/>
      <c r="DR374" s="15"/>
      <c r="DS374" s="15"/>
      <c r="DT374" s="15"/>
      <c r="DU374" s="15"/>
      <c r="DV374" s="15"/>
      <c r="DW374" s="15"/>
      <c r="DX374" s="15"/>
      <c r="DY374" s="15"/>
      <c r="DZ374" s="15"/>
      <c r="EA374" s="15"/>
      <c r="EB374" s="15"/>
      <c r="EC374" s="15"/>
      <c r="ED374" s="15"/>
      <c r="EE374" s="15"/>
      <c r="EF374" s="15"/>
      <c r="EG374" s="15"/>
      <c r="EH374" s="15"/>
      <c r="EI374" s="15"/>
      <c r="EJ374" s="15"/>
      <c r="EK374" s="15"/>
      <c r="EL374" s="15"/>
      <c r="EM374" s="15"/>
      <c r="EN374" s="15"/>
      <c r="EO374" s="15"/>
      <c r="EP374" s="15"/>
      <c r="EQ374" s="15"/>
      <c r="ER374" s="15"/>
      <c r="ES374" s="15"/>
      <c r="ET374" s="15"/>
      <c r="EU374" s="15"/>
      <c r="EV374" s="15"/>
      <c r="EW374" s="15"/>
      <c r="EX374" s="15"/>
      <c r="EY374" s="15"/>
      <c r="EZ374" s="15"/>
      <c r="FA374" s="15"/>
      <c r="FB374" s="15"/>
      <c r="FC374" s="15"/>
      <c r="FD374" s="15"/>
      <c r="FE374" s="15"/>
      <c r="FF374" s="15"/>
      <c r="FG374" s="15"/>
      <c r="FH374" s="15"/>
      <c r="FI374" s="15"/>
      <c r="FJ374" s="15"/>
      <c r="FK374" s="15"/>
      <c r="FL374" s="15"/>
      <c r="FM374" s="15"/>
      <c r="FN374" s="15"/>
      <c r="FO374" s="15"/>
      <c r="FP374" s="15"/>
      <c r="FQ374" s="15"/>
      <c r="FR374" s="15"/>
      <c r="FS374" s="15"/>
      <c r="FT374" s="15"/>
      <c r="FU374" s="15"/>
      <c r="FV374" s="15"/>
    </row>
    <row r="375" spans="22:178" s="2" customFormat="1">
      <c r="V375" s="15"/>
      <c r="DK375" s="15"/>
      <c r="DL375" s="15"/>
      <c r="DM375" s="15"/>
      <c r="DN375" s="15"/>
      <c r="DO375" s="15"/>
      <c r="DP375" s="15"/>
      <c r="DQ375" s="15"/>
      <c r="DR375" s="15"/>
      <c r="DS375" s="15"/>
      <c r="DT375" s="15"/>
      <c r="DU375" s="15"/>
      <c r="DV375" s="15"/>
      <c r="DW375" s="15"/>
      <c r="DX375" s="15"/>
      <c r="DY375" s="15"/>
      <c r="DZ375" s="15"/>
      <c r="EA375" s="15"/>
      <c r="EB375" s="15"/>
      <c r="EC375" s="15"/>
      <c r="ED375" s="15"/>
      <c r="EE375" s="15"/>
      <c r="EF375" s="15"/>
      <c r="EG375" s="15"/>
      <c r="EH375" s="15"/>
      <c r="EI375" s="15"/>
      <c r="EJ375" s="15"/>
      <c r="EK375" s="15"/>
      <c r="EL375" s="15"/>
      <c r="EM375" s="15"/>
      <c r="EN375" s="15"/>
      <c r="EO375" s="15"/>
      <c r="EP375" s="15"/>
      <c r="EQ375" s="15"/>
      <c r="ER375" s="15"/>
      <c r="ES375" s="15"/>
      <c r="ET375" s="15"/>
      <c r="EU375" s="15"/>
      <c r="EV375" s="15"/>
      <c r="EW375" s="15"/>
      <c r="EX375" s="15"/>
      <c r="EY375" s="15"/>
      <c r="EZ375" s="15"/>
      <c r="FA375" s="15"/>
      <c r="FB375" s="15"/>
      <c r="FC375" s="15"/>
      <c r="FD375" s="15"/>
      <c r="FE375" s="15"/>
      <c r="FF375" s="15"/>
      <c r="FG375" s="15"/>
      <c r="FH375" s="15"/>
      <c r="FI375" s="15"/>
      <c r="FJ375" s="15"/>
      <c r="FK375" s="15"/>
      <c r="FL375" s="15"/>
      <c r="FM375" s="15"/>
      <c r="FN375" s="15"/>
      <c r="FO375" s="15"/>
      <c r="FP375" s="15"/>
      <c r="FQ375" s="15"/>
      <c r="FR375" s="15"/>
      <c r="FS375" s="15"/>
      <c r="FT375" s="15"/>
      <c r="FU375" s="15"/>
      <c r="FV375" s="15"/>
    </row>
    <row r="376" spans="22:178" s="2" customFormat="1">
      <c r="V376" s="15"/>
      <c r="DK376" s="15"/>
      <c r="DL376" s="15"/>
      <c r="DM376" s="15"/>
      <c r="DN376" s="15"/>
      <c r="DO376" s="15"/>
      <c r="DP376" s="15"/>
      <c r="DQ376" s="15"/>
      <c r="DR376" s="15"/>
      <c r="DS376" s="15"/>
      <c r="DT376" s="15"/>
      <c r="DU376" s="15"/>
      <c r="DV376" s="15"/>
      <c r="DW376" s="15"/>
      <c r="DX376" s="15"/>
      <c r="DY376" s="15"/>
      <c r="DZ376" s="15"/>
      <c r="EA376" s="15"/>
      <c r="EB376" s="15"/>
      <c r="EC376" s="15"/>
      <c r="ED376" s="15"/>
      <c r="EE376" s="15"/>
      <c r="EF376" s="15"/>
      <c r="EG376" s="15"/>
      <c r="EH376" s="15"/>
      <c r="EI376" s="15"/>
      <c r="EJ376" s="15"/>
      <c r="EK376" s="15"/>
      <c r="EL376" s="15"/>
      <c r="EM376" s="15"/>
      <c r="EN376" s="15"/>
      <c r="EO376" s="15"/>
      <c r="EP376" s="15"/>
      <c r="EQ376" s="15"/>
      <c r="ER376" s="15"/>
      <c r="ES376" s="15"/>
      <c r="ET376" s="15"/>
      <c r="EU376" s="15"/>
      <c r="EV376" s="15"/>
      <c r="EW376" s="15"/>
      <c r="EX376" s="15"/>
      <c r="EY376" s="15"/>
      <c r="EZ376" s="15"/>
      <c r="FA376" s="15"/>
      <c r="FB376" s="15"/>
      <c r="FC376" s="15"/>
      <c r="FD376" s="15"/>
      <c r="FE376" s="15"/>
      <c r="FF376" s="15"/>
      <c r="FG376" s="15"/>
      <c r="FH376" s="15"/>
      <c r="FI376" s="15"/>
      <c r="FJ376" s="15"/>
      <c r="FK376" s="15"/>
      <c r="FL376" s="15"/>
      <c r="FM376" s="15"/>
      <c r="FN376" s="15"/>
      <c r="FO376" s="15"/>
      <c r="FP376" s="15"/>
      <c r="FQ376" s="15"/>
      <c r="FR376" s="15"/>
      <c r="FS376" s="15"/>
      <c r="FT376" s="15"/>
      <c r="FU376" s="15"/>
      <c r="FV376" s="15"/>
    </row>
    <row r="377" spans="22:178" s="2" customFormat="1">
      <c r="V377" s="15"/>
      <c r="DK377" s="15"/>
      <c r="DL377" s="15"/>
      <c r="DM377" s="15"/>
      <c r="DN377" s="15"/>
      <c r="DO377" s="15"/>
      <c r="DP377" s="15"/>
      <c r="DQ377" s="15"/>
      <c r="DR377" s="15"/>
      <c r="DS377" s="15"/>
      <c r="DT377" s="15"/>
      <c r="DU377" s="15"/>
      <c r="DV377" s="15"/>
      <c r="DW377" s="15"/>
      <c r="DX377" s="15"/>
      <c r="DY377" s="15"/>
      <c r="DZ377" s="15"/>
      <c r="EA377" s="15"/>
      <c r="EB377" s="15"/>
      <c r="EC377" s="15"/>
      <c r="ED377" s="15"/>
      <c r="EE377" s="15"/>
      <c r="EF377" s="15"/>
      <c r="EG377" s="15"/>
      <c r="EH377" s="15"/>
      <c r="EI377" s="15"/>
      <c r="EJ377" s="15"/>
      <c r="EK377" s="15"/>
      <c r="EL377" s="15"/>
      <c r="EM377" s="15"/>
      <c r="EN377" s="15"/>
      <c r="EO377" s="15"/>
      <c r="EP377" s="15"/>
      <c r="EQ377" s="15"/>
      <c r="ER377" s="15"/>
      <c r="ES377" s="15"/>
      <c r="ET377" s="15"/>
      <c r="EU377" s="15"/>
      <c r="EV377" s="15"/>
      <c r="EW377" s="15"/>
      <c r="EX377" s="15"/>
      <c r="EY377" s="15"/>
      <c r="EZ377" s="15"/>
      <c r="FA377" s="15"/>
      <c r="FB377" s="15"/>
      <c r="FC377" s="15"/>
      <c r="FD377" s="15"/>
      <c r="FE377" s="15"/>
      <c r="FF377" s="15"/>
      <c r="FG377" s="15"/>
      <c r="FH377" s="15"/>
      <c r="FI377" s="15"/>
      <c r="FJ377" s="15"/>
      <c r="FK377" s="15"/>
      <c r="FL377" s="15"/>
      <c r="FM377" s="15"/>
      <c r="FN377" s="15"/>
      <c r="FO377" s="15"/>
      <c r="FP377" s="15"/>
      <c r="FQ377" s="15"/>
      <c r="FR377" s="15"/>
      <c r="FS377" s="15"/>
      <c r="FT377" s="15"/>
      <c r="FU377" s="15"/>
      <c r="FV377" s="15"/>
    </row>
    <row r="378" spans="22:178" s="2" customFormat="1">
      <c r="V378" s="15"/>
      <c r="DK378" s="15"/>
      <c r="DL378" s="15"/>
      <c r="DM378" s="15"/>
      <c r="DN378" s="15"/>
      <c r="DO378" s="15"/>
      <c r="DP378" s="15"/>
      <c r="DQ378" s="15"/>
      <c r="DR378" s="15"/>
      <c r="DS378" s="15"/>
      <c r="DT378" s="15"/>
      <c r="DU378" s="15"/>
      <c r="DV378" s="15"/>
      <c r="DW378" s="15"/>
      <c r="DX378" s="15"/>
      <c r="DY378" s="15"/>
      <c r="DZ378" s="15"/>
      <c r="EA378" s="15"/>
      <c r="EB378" s="15"/>
      <c r="EC378" s="15"/>
      <c r="ED378" s="15"/>
      <c r="EE378" s="15"/>
      <c r="EF378" s="15"/>
      <c r="EG378" s="15"/>
      <c r="EH378" s="15"/>
      <c r="EI378" s="15"/>
      <c r="EJ378" s="15"/>
      <c r="EK378" s="15"/>
      <c r="EL378" s="15"/>
      <c r="EM378" s="15"/>
      <c r="EN378" s="15"/>
      <c r="EO378" s="15"/>
      <c r="EP378" s="15"/>
      <c r="EQ378" s="15"/>
      <c r="ER378" s="15"/>
      <c r="ES378" s="15"/>
      <c r="ET378" s="15"/>
      <c r="EU378" s="15"/>
      <c r="EV378" s="15"/>
      <c r="EW378" s="15"/>
      <c r="EX378" s="15"/>
      <c r="EY378" s="15"/>
      <c r="EZ378" s="15"/>
      <c r="FA378" s="15"/>
      <c r="FB378" s="15"/>
      <c r="FC378" s="15"/>
      <c r="FD378" s="15"/>
      <c r="FE378" s="15"/>
      <c r="FF378" s="15"/>
      <c r="FG378" s="15"/>
      <c r="FH378" s="15"/>
      <c r="FI378" s="15"/>
      <c r="FJ378" s="15"/>
      <c r="FK378" s="15"/>
      <c r="FL378" s="15"/>
      <c r="FM378" s="15"/>
      <c r="FN378" s="15"/>
      <c r="FO378" s="15"/>
      <c r="FP378" s="15"/>
      <c r="FQ378" s="15"/>
      <c r="FR378" s="15"/>
      <c r="FS378" s="15"/>
      <c r="FT378" s="15"/>
      <c r="FU378" s="15"/>
      <c r="FV378" s="15"/>
    </row>
    <row r="379" spans="22:178" s="2" customFormat="1">
      <c r="V379" s="15"/>
      <c r="DK379" s="15"/>
      <c r="DL379" s="15"/>
      <c r="DM379" s="15"/>
      <c r="DN379" s="15"/>
      <c r="DO379" s="15"/>
      <c r="DP379" s="15"/>
      <c r="DQ379" s="15"/>
      <c r="DR379" s="15"/>
      <c r="DS379" s="15"/>
      <c r="DT379" s="15"/>
      <c r="DU379" s="15"/>
      <c r="DV379" s="15"/>
      <c r="DW379" s="15"/>
      <c r="DX379" s="15"/>
      <c r="DY379" s="15"/>
      <c r="DZ379" s="15"/>
      <c r="EA379" s="15"/>
      <c r="EB379" s="15"/>
      <c r="EC379" s="15"/>
      <c r="ED379" s="15"/>
      <c r="EE379" s="15"/>
      <c r="EF379" s="15"/>
      <c r="EG379" s="15"/>
      <c r="EH379" s="15"/>
      <c r="EI379" s="15"/>
      <c r="EJ379" s="15"/>
      <c r="EK379" s="15"/>
      <c r="EL379" s="15"/>
      <c r="EM379" s="15"/>
      <c r="EN379" s="15"/>
      <c r="EO379" s="15"/>
      <c r="EP379" s="15"/>
      <c r="EQ379" s="15"/>
      <c r="ER379" s="15"/>
      <c r="ES379" s="15"/>
      <c r="ET379" s="15"/>
      <c r="EU379" s="15"/>
      <c r="EV379" s="15"/>
      <c r="EW379" s="15"/>
      <c r="EX379" s="15"/>
      <c r="EY379" s="15"/>
      <c r="EZ379" s="15"/>
      <c r="FA379" s="15"/>
      <c r="FB379" s="15"/>
      <c r="FC379" s="15"/>
      <c r="FD379" s="15"/>
      <c r="FE379" s="15"/>
      <c r="FF379" s="15"/>
      <c r="FG379" s="15"/>
      <c r="FH379" s="15"/>
      <c r="FI379" s="15"/>
      <c r="FJ379" s="15"/>
      <c r="FK379" s="15"/>
      <c r="FL379" s="15"/>
      <c r="FM379" s="15"/>
      <c r="FN379" s="15"/>
      <c r="FO379" s="15"/>
      <c r="FP379" s="15"/>
      <c r="FQ379" s="15"/>
      <c r="FR379" s="15"/>
      <c r="FS379" s="15"/>
      <c r="FT379" s="15"/>
      <c r="FU379" s="15"/>
      <c r="FV379" s="15"/>
    </row>
    <row r="380" spans="22:178" s="2" customFormat="1">
      <c r="V380" s="15"/>
      <c r="DK380" s="15"/>
      <c r="DL380" s="15"/>
      <c r="DM380" s="15"/>
      <c r="DN380" s="15"/>
      <c r="DO380" s="15"/>
      <c r="DP380" s="15"/>
      <c r="DQ380" s="15"/>
      <c r="DR380" s="15"/>
      <c r="DS380" s="15"/>
      <c r="DT380" s="15"/>
      <c r="DU380" s="15"/>
      <c r="DV380" s="15"/>
      <c r="DW380" s="15"/>
      <c r="DX380" s="15"/>
      <c r="DY380" s="15"/>
      <c r="DZ380" s="15"/>
      <c r="EA380" s="15"/>
      <c r="EB380" s="15"/>
      <c r="EC380" s="15"/>
      <c r="ED380" s="15"/>
      <c r="EE380" s="15"/>
      <c r="EF380" s="15"/>
      <c r="EG380" s="15"/>
      <c r="EH380" s="15"/>
      <c r="EI380" s="15"/>
      <c r="EJ380" s="15"/>
      <c r="EK380" s="15"/>
      <c r="EL380" s="15"/>
      <c r="EM380" s="15"/>
      <c r="EN380" s="15"/>
      <c r="EO380" s="15"/>
      <c r="EP380" s="15"/>
      <c r="EQ380" s="15"/>
      <c r="ER380" s="15"/>
      <c r="ES380" s="15"/>
      <c r="ET380" s="15"/>
      <c r="EU380" s="15"/>
      <c r="EV380" s="15"/>
      <c r="EW380" s="15"/>
      <c r="EX380" s="15"/>
      <c r="EY380" s="15"/>
      <c r="EZ380" s="15"/>
      <c r="FA380" s="15"/>
      <c r="FB380" s="15"/>
      <c r="FC380" s="15"/>
      <c r="FD380" s="15"/>
      <c r="FE380" s="15"/>
      <c r="FF380" s="15"/>
      <c r="FG380" s="15"/>
      <c r="FH380" s="15"/>
      <c r="FI380" s="15"/>
      <c r="FJ380" s="15"/>
      <c r="FK380" s="15"/>
      <c r="FL380" s="15"/>
      <c r="FM380" s="15"/>
      <c r="FN380" s="15"/>
      <c r="FO380" s="15"/>
      <c r="FP380" s="15"/>
      <c r="FQ380" s="15"/>
      <c r="FR380" s="15"/>
      <c r="FS380" s="15"/>
      <c r="FT380" s="15"/>
      <c r="FU380" s="15"/>
      <c r="FV380" s="15"/>
    </row>
    <row r="381" spans="22:178" s="2" customFormat="1">
      <c r="V381" s="15"/>
      <c r="DK381" s="15"/>
      <c r="DL381" s="15"/>
      <c r="DM381" s="15"/>
      <c r="DN381" s="15"/>
      <c r="DO381" s="15"/>
      <c r="DP381" s="15"/>
      <c r="DQ381" s="15"/>
      <c r="DR381" s="15"/>
      <c r="DS381" s="15"/>
      <c r="DT381" s="15"/>
      <c r="DU381" s="15"/>
      <c r="DV381" s="15"/>
      <c r="DW381" s="15"/>
      <c r="DX381" s="15"/>
      <c r="DY381" s="15"/>
      <c r="DZ381" s="15"/>
      <c r="EA381" s="15"/>
      <c r="EB381" s="15"/>
      <c r="EC381" s="15"/>
      <c r="ED381" s="15"/>
      <c r="EE381" s="15"/>
      <c r="EF381" s="15"/>
      <c r="EG381" s="15"/>
      <c r="EH381" s="15"/>
      <c r="EI381" s="15"/>
      <c r="EJ381" s="15"/>
      <c r="EK381" s="15"/>
      <c r="EL381" s="15"/>
      <c r="EM381" s="15"/>
      <c r="EN381" s="15"/>
      <c r="EO381" s="15"/>
      <c r="EP381" s="15"/>
      <c r="EQ381" s="15"/>
      <c r="ER381" s="15"/>
      <c r="ES381" s="15"/>
      <c r="ET381" s="15"/>
      <c r="EU381" s="15"/>
      <c r="EV381" s="15"/>
      <c r="EW381" s="15"/>
      <c r="EX381" s="15"/>
      <c r="EY381" s="15"/>
      <c r="EZ381" s="15"/>
      <c r="FA381" s="15"/>
      <c r="FB381" s="15"/>
      <c r="FC381" s="15"/>
      <c r="FD381" s="15"/>
      <c r="FE381" s="15"/>
      <c r="FF381" s="15"/>
      <c r="FG381" s="15"/>
      <c r="FH381" s="15"/>
      <c r="FI381" s="15"/>
      <c r="FJ381" s="15"/>
      <c r="FK381" s="15"/>
      <c r="FL381" s="15"/>
      <c r="FM381" s="15"/>
      <c r="FN381" s="15"/>
      <c r="FO381" s="15"/>
      <c r="FP381" s="15"/>
      <c r="FQ381" s="15"/>
      <c r="FR381" s="15"/>
      <c r="FS381" s="15"/>
      <c r="FT381" s="15"/>
      <c r="FU381" s="15"/>
      <c r="FV381" s="15"/>
    </row>
    <row r="382" spans="22:178" s="2" customFormat="1">
      <c r="V382" s="15"/>
      <c r="DK382" s="15"/>
      <c r="DL382" s="15"/>
      <c r="DM382" s="15"/>
      <c r="DN382" s="15"/>
      <c r="DO382" s="15"/>
      <c r="DP382" s="15"/>
      <c r="DQ382" s="15"/>
      <c r="DR382" s="15"/>
      <c r="DS382" s="15"/>
      <c r="DT382" s="15"/>
      <c r="DU382" s="15"/>
      <c r="DV382" s="15"/>
      <c r="DW382" s="15"/>
      <c r="DX382" s="15"/>
      <c r="DY382" s="15"/>
      <c r="DZ382" s="15"/>
      <c r="EA382" s="15"/>
      <c r="EB382" s="15"/>
      <c r="EC382" s="15"/>
      <c r="ED382" s="15"/>
      <c r="EE382" s="15"/>
      <c r="EF382" s="15"/>
      <c r="EG382" s="15"/>
      <c r="EH382" s="15"/>
      <c r="EI382" s="15"/>
      <c r="EJ382" s="15"/>
      <c r="EK382" s="15"/>
      <c r="EL382" s="15"/>
      <c r="EM382" s="15"/>
      <c r="EN382" s="15"/>
      <c r="EO382" s="15"/>
      <c r="EP382" s="15"/>
      <c r="EQ382" s="15"/>
      <c r="ER382" s="15"/>
      <c r="ES382" s="15"/>
      <c r="ET382" s="15"/>
      <c r="EU382" s="15"/>
      <c r="EV382" s="15"/>
      <c r="EW382" s="15"/>
      <c r="EX382" s="15"/>
      <c r="EY382" s="15"/>
      <c r="EZ382" s="15"/>
      <c r="FA382" s="15"/>
      <c r="FB382" s="15"/>
      <c r="FC382" s="15"/>
      <c r="FD382" s="15"/>
      <c r="FE382" s="15"/>
      <c r="FF382" s="15"/>
      <c r="FG382" s="15"/>
      <c r="FH382" s="15"/>
      <c r="FI382" s="15"/>
      <c r="FJ382" s="15"/>
      <c r="FK382" s="15"/>
      <c r="FL382" s="15"/>
      <c r="FM382" s="15"/>
      <c r="FN382" s="15"/>
      <c r="FO382" s="15"/>
      <c r="FP382" s="15"/>
      <c r="FQ382" s="15"/>
      <c r="FR382" s="15"/>
      <c r="FS382" s="15"/>
      <c r="FT382" s="15"/>
      <c r="FU382" s="15"/>
      <c r="FV382" s="15"/>
    </row>
    <row r="383" spans="22:178" s="2" customFormat="1">
      <c r="V383" s="15"/>
      <c r="DK383" s="15"/>
      <c r="DL383" s="15"/>
      <c r="DM383" s="15"/>
      <c r="DN383" s="15"/>
      <c r="DO383" s="15"/>
      <c r="DP383" s="15"/>
      <c r="DQ383" s="15"/>
      <c r="DR383" s="15"/>
      <c r="DS383" s="15"/>
      <c r="DT383" s="15"/>
      <c r="DU383" s="15"/>
      <c r="DV383" s="15"/>
      <c r="DW383" s="15"/>
      <c r="DX383" s="15"/>
      <c r="DY383" s="15"/>
      <c r="DZ383" s="15"/>
      <c r="EA383" s="15"/>
      <c r="EB383" s="15"/>
      <c r="EC383" s="15"/>
      <c r="ED383" s="15"/>
      <c r="EE383" s="15"/>
      <c r="EF383" s="15"/>
      <c r="EG383" s="15"/>
      <c r="EH383" s="15"/>
      <c r="EI383" s="15"/>
      <c r="EJ383" s="15"/>
      <c r="EK383" s="15"/>
      <c r="EL383" s="15"/>
      <c r="EM383" s="15"/>
      <c r="EN383" s="15"/>
      <c r="EO383" s="15"/>
      <c r="EP383" s="15"/>
      <c r="EQ383" s="15"/>
      <c r="ER383" s="15"/>
      <c r="ES383" s="15"/>
      <c r="ET383" s="15"/>
      <c r="EU383" s="15"/>
      <c r="EV383" s="15"/>
      <c r="EW383" s="15"/>
      <c r="EX383" s="15"/>
      <c r="EY383" s="15"/>
      <c r="EZ383" s="15"/>
      <c r="FA383" s="15"/>
      <c r="FB383" s="15"/>
      <c r="FC383" s="15"/>
      <c r="FD383" s="15"/>
      <c r="FE383" s="15"/>
      <c r="FF383" s="15"/>
      <c r="FG383" s="15"/>
      <c r="FH383" s="15"/>
      <c r="FI383" s="15"/>
      <c r="FJ383" s="15"/>
      <c r="FK383" s="15"/>
      <c r="FL383" s="15"/>
      <c r="FM383" s="15"/>
      <c r="FN383" s="15"/>
      <c r="FO383" s="15"/>
      <c r="FP383" s="15"/>
      <c r="FQ383" s="15"/>
      <c r="FR383" s="15"/>
      <c r="FS383" s="15"/>
      <c r="FT383" s="15"/>
      <c r="FU383" s="15"/>
      <c r="FV383" s="15"/>
    </row>
    <row r="384" spans="22:178" s="2" customFormat="1">
      <c r="V384" s="15"/>
      <c r="DK384" s="15"/>
      <c r="DL384" s="15"/>
      <c r="DM384" s="15"/>
      <c r="DN384" s="15"/>
      <c r="DO384" s="15"/>
      <c r="DP384" s="15"/>
      <c r="DQ384" s="15"/>
      <c r="DR384" s="15"/>
      <c r="DS384" s="15"/>
      <c r="DT384" s="15"/>
      <c r="DU384" s="15"/>
      <c r="DV384" s="15"/>
      <c r="DW384" s="15"/>
      <c r="DX384" s="15"/>
      <c r="DY384" s="15"/>
      <c r="DZ384" s="15"/>
      <c r="EA384" s="15"/>
      <c r="EB384" s="15"/>
      <c r="EC384" s="15"/>
      <c r="ED384" s="15"/>
      <c r="EE384" s="15"/>
      <c r="EF384" s="15"/>
      <c r="EG384" s="15"/>
      <c r="EH384" s="15"/>
      <c r="EI384" s="15"/>
      <c r="EJ384" s="15"/>
      <c r="EK384" s="15"/>
      <c r="EL384" s="15"/>
      <c r="EM384" s="15"/>
      <c r="EN384" s="15"/>
      <c r="EO384" s="15"/>
      <c r="EP384" s="15"/>
      <c r="EQ384" s="15"/>
      <c r="ER384" s="15"/>
      <c r="ES384" s="15"/>
      <c r="ET384" s="15"/>
      <c r="EU384" s="15"/>
      <c r="EV384" s="15"/>
      <c r="EW384" s="15"/>
      <c r="EX384" s="15"/>
      <c r="EY384" s="15"/>
      <c r="EZ384" s="15"/>
      <c r="FA384" s="15"/>
      <c r="FB384" s="15"/>
      <c r="FC384" s="15"/>
      <c r="FD384" s="15"/>
      <c r="FE384" s="15"/>
      <c r="FF384" s="15"/>
      <c r="FG384" s="15"/>
      <c r="FH384" s="15"/>
      <c r="FI384" s="15"/>
      <c r="FJ384" s="15"/>
      <c r="FK384" s="15"/>
      <c r="FL384" s="15"/>
      <c r="FM384" s="15"/>
      <c r="FN384" s="15"/>
      <c r="FO384" s="15"/>
      <c r="FP384" s="15"/>
      <c r="FQ384" s="15"/>
      <c r="FR384" s="15"/>
      <c r="FS384" s="15"/>
      <c r="FT384" s="15"/>
      <c r="FU384" s="15"/>
      <c r="FV384" s="15"/>
    </row>
    <row r="385" spans="22:178" s="2" customFormat="1">
      <c r="V385" s="15"/>
      <c r="DK385" s="15"/>
      <c r="DL385" s="15"/>
      <c r="DM385" s="15"/>
      <c r="DN385" s="15"/>
      <c r="DO385" s="15"/>
      <c r="DP385" s="15"/>
      <c r="DQ385" s="15"/>
      <c r="DR385" s="15"/>
      <c r="DS385" s="15"/>
      <c r="DT385" s="15"/>
      <c r="DU385" s="15"/>
      <c r="DV385" s="15"/>
      <c r="DW385" s="15"/>
      <c r="DX385" s="15"/>
      <c r="DY385" s="15"/>
      <c r="DZ385" s="15"/>
      <c r="EA385" s="15"/>
      <c r="EB385" s="15"/>
      <c r="EC385" s="15"/>
      <c r="ED385" s="15"/>
      <c r="EE385" s="15"/>
      <c r="EF385" s="15"/>
      <c r="EG385" s="15"/>
      <c r="EH385" s="15"/>
      <c r="EI385" s="15"/>
      <c r="EJ385" s="15"/>
      <c r="EK385" s="15"/>
      <c r="EL385" s="15"/>
      <c r="EM385" s="15"/>
      <c r="EN385" s="15"/>
      <c r="EO385" s="15"/>
      <c r="EP385" s="15"/>
      <c r="EQ385" s="15"/>
      <c r="ER385" s="15"/>
      <c r="ES385" s="15"/>
      <c r="ET385" s="15"/>
      <c r="EU385" s="15"/>
      <c r="EV385" s="15"/>
      <c r="EW385" s="15"/>
      <c r="EX385" s="15"/>
      <c r="EY385" s="15"/>
      <c r="EZ385" s="15"/>
      <c r="FA385" s="15"/>
      <c r="FB385" s="15"/>
      <c r="FC385" s="15"/>
      <c r="FD385" s="15"/>
      <c r="FE385" s="15"/>
      <c r="FF385" s="15"/>
      <c r="FG385" s="15"/>
      <c r="FH385" s="15"/>
      <c r="FI385" s="15"/>
      <c r="FJ385" s="15"/>
      <c r="FK385" s="15"/>
      <c r="FL385" s="15"/>
      <c r="FM385" s="15"/>
      <c r="FN385" s="15"/>
      <c r="FO385" s="15"/>
      <c r="FP385" s="15"/>
      <c r="FQ385" s="15"/>
      <c r="FR385" s="15"/>
      <c r="FS385" s="15"/>
      <c r="FT385" s="15"/>
      <c r="FU385" s="15"/>
      <c r="FV385" s="15"/>
    </row>
    <row r="386" spans="22:178" s="2" customFormat="1">
      <c r="V386" s="15"/>
      <c r="DK386" s="15"/>
      <c r="DL386" s="15"/>
      <c r="DM386" s="15"/>
      <c r="DN386" s="15"/>
      <c r="DO386" s="15"/>
      <c r="DP386" s="15"/>
      <c r="DQ386" s="15"/>
      <c r="DR386" s="15"/>
      <c r="DS386" s="15"/>
      <c r="DT386" s="15"/>
      <c r="DU386" s="15"/>
      <c r="DV386" s="15"/>
      <c r="DW386" s="15"/>
      <c r="DX386" s="15"/>
      <c r="DY386" s="15"/>
      <c r="DZ386" s="15"/>
      <c r="EA386" s="15"/>
      <c r="EB386" s="15"/>
      <c r="EC386" s="15"/>
      <c r="ED386" s="15"/>
      <c r="EE386" s="15"/>
      <c r="EF386" s="15"/>
      <c r="EG386" s="15"/>
      <c r="EH386" s="15"/>
      <c r="EI386" s="15"/>
      <c r="EJ386" s="15"/>
      <c r="EK386" s="15"/>
      <c r="EL386" s="15"/>
      <c r="EM386" s="15"/>
      <c r="EN386" s="15"/>
      <c r="EO386" s="15"/>
      <c r="EP386" s="15"/>
      <c r="EQ386" s="15"/>
      <c r="ER386" s="15"/>
      <c r="ES386" s="15"/>
      <c r="ET386" s="15"/>
      <c r="EU386" s="15"/>
      <c r="EV386" s="15"/>
      <c r="EW386" s="15"/>
      <c r="EX386" s="15"/>
      <c r="EY386" s="15"/>
      <c r="EZ386" s="15"/>
      <c r="FA386" s="15"/>
      <c r="FB386" s="15"/>
      <c r="FC386" s="15"/>
      <c r="FD386" s="15"/>
      <c r="FE386" s="15"/>
      <c r="FF386" s="15"/>
      <c r="FG386" s="15"/>
      <c r="FH386" s="15"/>
      <c r="FI386" s="15"/>
      <c r="FJ386" s="15"/>
      <c r="FK386" s="15"/>
      <c r="FL386" s="15"/>
      <c r="FM386" s="15"/>
      <c r="FN386" s="15"/>
      <c r="FO386" s="15"/>
      <c r="FP386" s="15"/>
      <c r="FQ386" s="15"/>
      <c r="FR386" s="15"/>
      <c r="FS386" s="15"/>
      <c r="FT386" s="15"/>
      <c r="FU386" s="15"/>
      <c r="FV386" s="15"/>
    </row>
    <row r="387" spans="22:178" s="2" customFormat="1">
      <c r="V387" s="15"/>
      <c r="DK387" s="15"/>
      <c r="DL387" s="15"/>
      <c r="DM387" s="15"/>
      <c r="DN387" s="15"/>
      <c r="DO387" s="15"/>
      <c r="DP387" s="15"/>
      <c r="DQ387" s="15"/>
      <c r="DR387" s="15"/>
      <c r="DS387" s="15"/>
      <c r="DT387" s="15"/>
      <c r="DU387" s="15"/>
      <c r="DV387" s="15"/>
      <c r="DW387" s="15"/>
      <c r="DX387" s="15"/>
      <c r="DY387" s="15"/>
      <c r="DZ387" s="15"/>
      <c r="EA387" s="15"/>
      <c r="EB387" s="15"/>
      <c r="EC387" s="15"/>
      <c r="ED387" s="15"/>
      <c r="EE387" s="15"/>
      <c r="EF387" s="15"/>
      <c r="EG387" s="15"/>
      <c r="EH387" s="15"/>
      <c r="EI387" s="15"/>
      <c r="EJ387" s="15"/>
      <c r="EK387" s="15"/>
      <c r="EL387" s="15"/>
      <c r="EM387" s="15"/>
      <c r="EN387" s="15"/>
      <c r="EO387" s="15"/>
      <c r="EP387" s="15"/>
      <c r="EQ387" s="15"/>
      <c r="ER387" s="15"/>
      <c r="ES387" s="15"/>
      <c r="ET387" s="15"/>
      <c r="EU387" s="15"/>
      <c r="EV387" s="15"/>
      <c r="EW387" s="15"/>
      <c r="EX387" s="15"/>
      <c r="EY387" s="15"/>
      <c r="EZ387" s="15"/>
      <c r="FA387" s="15"/>
      <c r="FB387" s="15"/>
      <c r="FC387" s="15"/>
      <c r="FD387" s="15"/>
      <c r="FE387" s="15"/>
      <c r="FF387" s="15"/>
      <c r="FG387" s="15"/>
      <c r="FH387" s="15"/>
      <c r="FI387" s="15"/>
      <c r="FJ387" s="15"/>
      <c r="FK387" s="15"/>
      <c r="FL387" s="15"/>
      <c r="FM387" s="15"/>
      <c r="FN387" s="15"/>
      <c r="FO387" s="15"/>
      <c r="FP387" s="15"/>
      <c r="FQ387" s="15"/>
      <c r="FR387" s="15"/>
      <c r="FS387" s="15"/>
      <c r="FT387" s="15"/>
      <c r="FU387" s="15"/>
      <c r="FV387" s="15"/>
    </row>
    <row r="388" spans="22:178" s="2" customFormat="1">
      <c r="V388" s="15"/>
      <c r="DK388" s="15"/>
      <c r="DL388" s="15"/>
      <c r="DM388" s="15"/>
      <c r="DN388" s="15"/>
      <c r="DO388" s="15"/>
      <c r="DP388" s="15"/>
      <c r="DQ388" s="15"/>
      <c r="DR388" s="15"/>
      <c r="DS388" s="15"/>
      <c r="DT388" s="15"/>
      <c r="DU388" s="15"/>
      <c r="DV388" s="15"/>
      <c r="DW388" s="15"/>
      <c r="DX388" s="15"/>
      <c r="DY388" s="15"/>
      <c r="DZ388" s="15"/>
      <c r="EA388" s="15"/>
      <c r="EB388" s="15"/>
      <c r="EC388" s="15"/>
      <c r="ED388" s="15"/>
      <c r="EE388" s="15"/>
      <c r="EF388" s="15"/>
      <c r="EG388" s="15"/>
      <c r="EH388" s="15"/>
      <c r="EI388" s="15"/>
      <c r="EJ388" s="15"/>
      <c r="EK388" s="15"/>
      <c r="EL388" s="15"/>
      <c r="EM388" s="15"/>
      <c r="EN388" s="15"/>
      <c r="EO388" s="15"/>
      <c r="EP388" s="15"/>
      <c r="EQ388" s="15"/>
      <c r="ER388" s="15"/>
      <c r="ES388" s="15"/>
      <c r="ET388" s="15"/>
      <c r="EU388" s="15"/>
      <c r="EV388" s="15"/>
      <c r="EW388" s="15"/>
      <c r="EX388" s="15"/>
      <c r="EY388" s="15"/>
      <c r="EZ388" s="15"/>
      <c r="FA388" s="15"/>
      <c r="FB388" s="15"/>
      <c r="FC388" s="15"/>
      <c r="FD388" s="15"/>
      <c r="FE388" s="15"/>
      <c r="FF388" s="15"/>
      <c r="FG388" s="15"/>
      <c r="FH388" s="15"/>
      <c r="FI388" s="15"/>
      <c r="FJ388" s="15"/>
      <c r="FK388" s="15"/>
      <c r="FL388" s="15"/>
      <c r="FM388" s="15"/>
      <c r="FN388" s="15"/>
      <c r="FO388" s="15"/>
      <c r="FP388" s="15"/>
      <c r="FQ388" s="15"/>
      <c r="FR388" s="15"/>
      <c r="FS388" s="15"/>
      <c r="FT388" s="15"/>
      <c r="FU388" s="15"/>
      <c r="FV388" s="15"/>
    </row>
    <row r="389" spans="22:178" s="2" customFormat="1">
      <c r="V389" s="15"/>
      <c r="DK389" s="15"/>
      <c r="DL389" s="15"/>
      <c r="DM389" s="15"/>
      <c r="DN389" s="15"/>
      <c r="DO389" s="15"/>
      <c r="DP389" s="15"/>
      <c r="DQ389" s="15"/>
      <c r="DR389" s="15"/>
      <c r="DS389" s="15"/>
      <c r="DT389" s="15"/>
      <c r="DU389" s="15"/>
      <c r="DV389" s="15"/>
      <c r="DW389" s="15"/>
      <c r="DX389" s="15"/>
      <c r="DY389" s="15"/>
      <c r="DZ389" s="15"/>
      <c r="EA389" s="15"/>
      <c r="EB389" s="15"/>
      <c r="EC389" s="15"/>
      <c r="ED389" s="15"/>
      <c r="EE389" s="15"/>
      <c r="EF389" s="15"/>
      <c r="EG389" s="15"/>
      <c r="EH389" s="15"/>
      <c r="EI389" s="15"/>
      <c r="EJ389" s="15"/>
      <c r="EK389" s="15"/>
      <c r="EL389" s="15"/>
      <c r="EM389" s="15"/>
      <c r="EN389" s="15"/>
      <c r="EO389" s="15"/>
      <c r="EP389" s="15"/>
      <c r="EQ389" s="15"/>
      <c r="ER389" s="15"/>
      <c r="ES389" s="15"/>
      <c r="ET389" s="15"/>
      <c r="EU389" s="15"/>
      <c r="EV389" s="15"/>
      <c r="EW389" s="15"/>
      <c r="EX389" s="15"/>
      <c r="EY389" s="15"/>
      <c r="EZ389" s="15"/>
      <c r="FA389" s="15"/>
      <c r="FB389" s="15"/>
      <c r="FC389" s="15"/>
      <c r="FD389" s="15"/>
      <c r="FE389" s="15"/>
      <c r="FF389" s="15"/>
      <c r="FG389" s="15"/>
      <c r="FH389" s="15"/>
      <c r="FI389" s="15"/>
      <c r="FJ389" s="15"/>
      <c r="FK389" s="15"/>
      <c r="FL389" s="15"/>
      <c r="FM389" s="15"/>
      <c r="FN389" s="15"/>
      <c r="FO389" s="15"/>
      <c r="FP389" s="15"/>
      <c r="FQ389" s="15"/>
      <c r="FR389" s="15"/>
      <c r="FS389" s="15"/>
      <c r="FT389" s="15"/>
      <c r="FU389" s="15"/>
      <c r="FV389" s="15"/>
    </row>
    <row r="390" spans="22:178" s="2" customFormat="1">
      <c r="V390" s="15"/>
      <c r="DK390" s="15"/>
      <c r="DL390" s="15"/>
      <c r="DM390" s="15"/>
      <c r="DN390" s="15"/>
      <c r="DO390" s="15"/>
      <c r="DP390" s="15"/>
      <c r="DQ390" s="15"/>
      <c r="DR390" s="15"/>
      <c r="DS390" s="15"/>
      <c r="DT390" s="15"/>
      <c r="DU390" s="15"/>
      <c r="DV390" s="15"/>
      <c r="DW390" s="15"/>
      <c r="DX390" s="15"/>
      <c r="DY390" s="15"/>
      <c r="DZ390" s="15"/>
      <c r="EA390" s="15"/>
      <c r="EB390" s="15"/>
      <c r="EC390" s="15"/>
      <c r="ED390" s="15"/>
      <c r="EE390" s="15"/>
      <c r="EF390" s="15"/>
      <c r="EG390" s="15"/>
      <c r="EH390" s="15"/>
      <c r="EI390" s="15"/>
      <c r="EJ390" s="15"/>
      <c r="EK390" s="15"/>
      <c r="EL390" s="15"/>
      <c r="EM390" s="15"/>
      <c r="EN390" s="15"/>
      <c r="EO390" s="15"/>
      <c r="EP390" s="15"/>
      <c r="EQ390" s="15"/>
      <c r="ER390" s="15"/>
      <c r="ES390" s="15"/>
      <c r="ET390" s="15"/>
      <c r="EU390" s="15"/>
      <c r="EV390" s="15"/>
      <c r="EW390" s="15"/>
      <c r="EX390" s="15"/>
      <c r="EY390" s="15"/>
      <c r="EZ390" s="15"/>
      <c r="FA390" s="15"/>
      <c r="FB390" s="15"/>
      <c r="FC390" s="15"/>
      <c r="FD390" s="15"/>
      <c r="FE390" s="15"/>
      <c r="FF390" s="15"/>
      <c r="FG390" s="15"/>
      <c r="FH390" s="15"/>
      <c r="FI390" s="15"/>
      <c r="FJ390" s="15"/>
      <c r="FK390" s="15"/>
      <c r="FL390" s="15"/>
      <c r="FM390" s="15"/>
      <c r="FN390" s="15"/>
      <c r="FO390" s="15"/>
      <c r="FP390" s="15"/>
      <c r="FQ390" s="15"/>
      <c r="FR390" s="15"/>
      <c r="FS390" s="15"/>
      <c r="FT390" s="15"/>
      <c r="FU390" s="15"/>
      <c r="FV390" s="15"/>
    </row>
    <row r="391" spans="22:178" s="2" customFormat="1">
      <c r="V391" s="15"/>
      <c r="DK391" s="15"/>
      <c r="DL391" s="15"/>
      <c r="DM391" s="15"/>
      <c r="DN391" s="15"/>
      <c r="DO391" s="15"/>
      <c r="DP391" s="15"/>
      <c r="DQ391" s="15"/>
      <c r="DR391" s="15"/>
      <c r="DS391" s="15"/>
      <c r="DT391" s="15"/>
      <c r="DU391" s="15"/>
      <c r="DV391" s="15"/>
      <c r="DW391" s="15"/>
      <c r="DX391" s="15"/>
      <c r="DY391" s="15"/>
      <c r="DZ391" s="15"/>
      <c r="EA391" s="15"/>
      <c r="EB391" s="15"/>
      <c r="EC391" s="15"/>
      <c r="ED391" s="15"/>
      <c r="EE391" s="15"/>
      <c r="EF391" s="15"/>
      <c r="EG391" s="15"/>
      <c r="EH391" s="15"/>
      <c r="EI391" s="15"/>
      <c r="EJ391" s="15"/>
      <c r="EK391" s="15"/>
      <c r="EL391" s="15"/>
      <c r="EM391" s="15"/>
      <c r="EN391" s="15"/>
      <c r="EO391" s="15"/>
      <c r="EP391" s="15"/>
      <c r="EQ391" s="15"/>
      <c r="ER391" s="15"/>
      <c r="ES391" s="15"/>
      <c r="ET391" s="15"/>
      <c r="EU391" s="15"/>
      <c r="EV391" s="15"/>
      <c r="EW391" s="15"/>
      <c r="EX391" s="15"/>
      <c r="EY391" s="15"/>
      <c r="EZ391" s="15"/>
      <c r="FA391" s="15"/>
      <c r="FB391" s="15"/>
      <c r="FC391" s="15"/>
      <c r="FD391" s="15"/>
      <c r="FE391" s="15"/>
      <c r="FF391" s="15"/>
      <c r="FG391" s="15"/>
      <c r="FH391" s="15"/>
      <c r="FI391" s="15"/>
      <c r="FJ391" s="15"/>
      <c r="FK391" s="15"/>
      <c r="FL391" s="15"/>
      <c r="FM391" s="15"/>
      <c r="FN391" s="15"/>
      <c r="FO391" s="15"/>
      <c r="FP391" s="15"/>
      <c r="FQ391" s="15"/>
      <c r="FR391" s="15"/>
      <c r="FS391" s="15"/>
      <c r="FT391" s="15"/>
      <c r="FU391" s="15"/>
      <c r="FV391" s="15"/>
    </row>
    <row r="392" spans="22:178" s="2" customFormat="1">
      <c r="V392" s="15"/>
      <c r="DK392" s="15"/>
      <c r="DL392" s="15"/>
      <c r="DM392" s="15"/>
      <c r="DN392" s="15"/>
      <c r="DO392" s="15"/>
      <c r="DP392" s="15"/>
      <c r="DQ392" s="15"/>
      <c r="DR392" s="15"/>
      <c r="DS392" s="15"/>
      <c r="DT392" s="15"/>
      <c r="DU392" s="15"/>
      <c r="DV392" s="15"/>
      <c r="DW392" s="15"/>
      <c r="DX392" s="15"/>
      <c r="DY392" s="15"/>
      <c r="DZ392" s="15"/>
      <c r="EA392" s="15"/>
      <c r="EB392" s="15"/>
      <c r="EC392" s="15"/>
      <c r="ED392" s="15"/>
      <c r="EE392" s="15"/>
      <c r="EF392" s="15"/>
      <c r="EG392" s="15"/>
      <c r="EH392" s="15"/>
      <c r="EI392" s="15"/>
      <c r="EJ392" s="15"/>
      <c r="EK392" s="15"/>
      <c r="EL392" s="15"/>
      <c r="EM392" s="15"/>
      <c r="EN392" s="15"/>
      <c r="EO392" s="15"/>
      <c r="EP392" s="15"/>
      <c r="EQ392" s="15"/>
      <c r="ER392" s="15"/>
      <c r="ES392" s="15"/>
      <c r="ET392" s="15"/>
      <c r="EU392" s="15"/>
      <c r="EV392" s="15"/>
      <c r="EW392" s="15"/>
      <c r="EX392" s="15"/>
      <c r="EY392" s="15"/>
      <c r="EZ392" s="15"/>
      <c r="FA392" s="15"/>
      <c r="FB392" s="15"/>
      <c r="FC392" s="15"/>
      <c r="FD392" s="15"/>
      <c r="FE392" s="15"/>
      <c r="FF392" s="15"/>
      <c r="FG392" s="15"/>
      <c r="FH392" s="15"/>
      <c r="FI392" s="15"/>
      <c r="FJ392" s="15"/>
      <c r="FK392" s="15"/>
      <c r="FL392" s="15"/>
      <c r="FM392" s="15"/>
      <c r="FN392" s="15"/>
      <c r="FO392" s="15"/>
      <c r="FP392" s="15"/>
      <c r="FQ392" s="15"/>
      <c r="FR392" s="15"/>
      <c r="FS392" s="15"/>
      <c r="FT392" s="15"/>
      <c r="FU392" s="15"/>
      <c r="FV392" s="15"/>
    </row>
    <row r="393" spans="22:178" s="2" customFormat="1">
      <c r="V393" s="15"/>
      <c r="DK393" s="15"/>
      <c r="DL393" s="15"/>
      <c r="DM393" s="15"/>
      <c r="DN393" s="15"/>
      <c r="DO393" s="15"/>
      <c r="DP393" s="15"/>
      <c r="DQ393" s="15"/>
      <c r="DR393" s="15"/>
      <c r="DS393" s="15"/>
      <c r="DT393" s="15"/>
      <c r="DU393" s="15"/>
      <c r="DV393" s="15"/>
      <c r="DW393" s="15"/>
      <c r="DX393" s="15"/>
      <c r="DY393" s="15"/>
      <c r="DZ393" s="15"/>
      <c r="EA393" s="15"/>
      <c r="EB393" s="15"/>
      <c r="EC393" s="15"/>
      <c r="ED393" s="15"/>
      <c r="EE393" s="15"/>
      <c r="EF393" s="15"/>
      <c r="EG393" s="15"/>
      <c r="EH393" s="15"/>
      <c r="EI393" s="15"/>
      <c r="EJ393" s="15"/>
      <c r="EK393" s="15"/>
      <c r="EL393" s="15"/>
      <c r="EM393" s="15"/>
      <c r="EN393" s="15"/>
      <c r="EO393" s="15"/>
      <c r="EP393" s="15"/>
      <c r="EQ393" s="15"/>
      <c r="ER393" s="15"/>
      <c r="ES393" s="15"/>
      <c r="ET393" s="15"/>
      <c r="EU393" s="15"/>
      <c r="EV393" s="15"/>
      <c r="EW393" s="15"/>
      <c r="EX393" s="15"/>
      <c r="EY393" s="15"/>
      <c r="EZ393" s="15"/>
      <c r="FA393" s="15"/>
      <c r="FB393" s="15"/>
      <c r="FC393" s="15"/>
      <c r="FD393" s="15"/>
      <c r="FE393" s="15"/>
      <c r="FF393" s="15"/>
      <c r="FG393" s="15"/>
      <c r="FH393" s="15"/>
      <c r="FI393" s="15"/>
      <c r="FJ393" s="15"/>
      <c r="FK393" s="15"/>
      <c r="FL393" s="15"/>
      <c r="FM393" s="15"/>
      <c r="FN393" s="15"/>
      <c r="FO393" s="15"/>
      <c r="FP393" s="15"/>
      <c r="FQ393" s="15"/>
      <c r="FR393" s="15"/>
      <c r="FS393" s="15"/>
      <c r="FT393" s="15"/>
      <c r="FU393" s="15"/>
      <c r="FV393" s="15"/>
    </row>
    <row r="394" spans="22:178" s="2" customFormat="1">
      <c r="V394" s="15"/>
      <c r="DK394" s="15"/>
      <c r="DL394" s="15"/>
      <c r="DM394" s="15"/>
      <c r="DN394" s="15"/>
      <c r="DO394" s="15"/>
      <c r="DP394" s="15"/>
      <c r="DQ394" s="15"/>
      <c r="DR394" s="15"/>
      <c r="DS394" s="15"/>
      <c r="DT394" s="15"/>
      <c r="DU394" s="15"/>
      <c r="DV394" s="15"/>
      <c r="DW394" s="15"/>
      <c r="DX394" s="15"/>
      <c r="DY394" s="15"/>
      <c r="DZ394" s="15"/>
      <c r="EA394" s="15"/>
      <c r="EB394" s="15"/>
      <c r="EC394" s="15"/>
      <c r="ED394" s="15"/>
      <c r="EE394" s="15"/>
      <c r="EF394" s="15"/>
      <c r="EG394" s="15"/>
      <c r="EH394" s="15"/>
      <c r="EI394" s="15"/>
      <c r="EJ394" s="15"/>
      <c r="EK394" s="15"/>
      <c r="EL394" s="15"/>
      <c r="EM394" s="15"/>
      <c r="EN394" s="15"/>
      <c r="EO394" s="15"/>
      <c r="EP394" s="15"/>
      <c r="EQ394" s="15"/>
      <c r="ER394" s="15"/>
      <c r="ES394" s="15"/>
      <c r="ET394" s="15"/>
      <c r="EU394" s="15"/>
      <c r="EV394" s="15"/>
      <c r="EW394" s="15"/>
      <c r="EX394" s="15"/>
      <c r="EY394" s="15"/>
      <c r="EZ394" s="15"/>
      <c r="FA394" s="15"/>
      <c r="FB394" s="15"/>
      <c r="FC394" s="15"/>
      <c r="FD394" s="15"/>
      <c r="FE394" s="15"/>
      <c r="FF394" s="15"/>
      <c r="FG394" s="15"/>
      <c r="FH394" s="15"/>
      <c r="FI394" s="15"/>
      <c r="FJ394" s="15"/>
      <c r="FK394" s="15"/>
      <c r="FL394" s="15"/>
      <c r="FM394" s="15"/>
      <c r="FN394" s="15"/>
      <c r="FO394" s="15"/>
      <c r="FP394" s="15"/>
      <c r="FQ394" s="15"/>
      <c r="FR394" s="15"/>
      <c r="FS394" s="15"/>
      <c r="FT394" s="15"/>
      <c r="FU394" s="15"/>
      <c r="FV394" s="15"/>
    </row>
    <row r="395" spans="22:178" s="2" customFormat="1">
      <c r="V395" s="15"/>
      <c r="DK395" s="15"/>
      <c r="DL395" s="15"/>
      <c r="DM395" s="15"/>
      <c r="DN395" s="15"/>
      <c r="DO395" s="15"/>
      <c r="DP395" s="15"/>
      <c r="DQ395" s="15"/>
      <c r="DR395" s="15"/>
      <c r="DS395" s="15"/>
      <c r="DT395" s="15"/>
      <c r="DU395" s="15"/>
      <c r="DV395" s="15"/>
      <c r="DW395" s="15"/>
      <c r="DX395" s="15"/>
      <c r="DY395" s="15"/>
      <c r="DZ395" s="15"/>
      <c r="EA395" s="15"/>
      <c r="EB395" s="15"/>
      <c r="EC395" s="15"/>
      <c r="ED395" s="15"/>
      <c r="EE395" s="15"/>
      <c r="EF395" s="15"/>
      <c r="EG395" s="15"/>
      <c r="EH395" s="15"/>
      <c r="EI395" s="15"/>
      <c r="EJ395" s="15"/>
      <c r="EK395" s="15"/>
      <c r="EL395" s="15"/>
      <c r="EM395" s="15"/>
      <c r="EN395" s="15"/>
      <c r="EO395" s="15"/>
      <c r="EP395" s="15"/>
      <c r="EQ395" s="15"/>
      <c r="ER395" s="15"/>
      <c r="ES395" s="15"/>
      <c r="ET395" s="15"/>
      <c r="EU395" s="15"/>
      <c r="EV395" s="15"/>
      <c r="EW395" s="15"/>
      <c r="EX395" s="15"/>
      <c r="EY395" s="15"/>
      <c r="EZ395" s="15"/>
      <c r="FA395" s="15"/>
      <c r="FB395" s="15"/>
      <c r="FC395" s="15"/>
      <c r="FD395" s="15"/>
      <c r="FE395" s="15"/>
      <c r="FF395" s="15"/>
      <c r="FG395" s="15"/>
      <c r="FH395" s="15"/>
      <c r="FI395" s="15"/>
      <c r="FJ395" s="15"/>
      <c r="FK395" s="15"/>
      <c r="FL395" s="15"/>
      <c r="FM395" s="15"/>
      <c r="FN395" s="15"/>
      <c r="FO395" s="15"/>
      <c r="FP395" s="15"/>
      <c r="FQ395" s="15"/>
      <c r="FR395" s="15"/>
      <c r="FS395" s="15"/>
      <c r="FT395" s="15"/>
      <c r="FU395" s="15"/>
      <c r="FV395" s="15"/>
    </row>
    <row r="396" spans="22:178" s="2" customFormat="1">
      <c r="V396" s="15"/>
      <c r="DK396" s="15"/>
      <c r="DL396" s="15"/>
      <c r="DM396" s="15"/>
      <c r="DN396" s="15"/>
      <c r="DO396" s="15"/>
      <c r="DP396" s="15"/>
      <c r="DQ396" s="15"/>
      <c r="DR396" s="15"/>
      <c r="DS396" s="15"/>
      <c r="DT396" s="15"/>
      <c r="DU396" s="15"/>
      <c r="DV396" s="15"/>
      <c r="DW396" s="15"/>
      <c r="DX396" s="15"/>
      <c r="DY396" s="15"/>
      <c r="DZ396" s="15"/>
      <c r="EA396" s="15"/>
      <c r="EB396" s="15"/>
      <c r="EC396" s="15"/>
      <c r="ED396" s="15"/>
      <c r="EE396" s="15"/>
      <c r="EF396" s="15"/>
      <c r="EG396" s="15"/>
      <c r="EH396" s="15"/>
      <c r="EI396" s="15"/>
      <c r="EJ396" s="15"/>
      <c r="EK396" s="15"/>
      <c r="EL396" s="15"/>
      <c r="EM396" s="15"/>
      <c r="EN396" s="15"/>
      <c r="EO396" s="15"/>
      <c r="EP396" s="15"/>
      <c r="EQ396" s="15"/>
      <c r="ER396" s="15"/>
      <c r="ES396" s="15"/>
      <c r="ET396" s="15"/>
      <c r="EU396" s="15"/>
      <c r="EV396" s="15"/>
      <c r="EW396" s="15"/>
      <c r="EX396" s="15"/>
      <c r="EY396" s="15"/>
      <c r="EZ396" s="15"/>
      <c r="FA396" s="15"/>
      <c r="FB396" s="15"/>
      <c r="FC396" s="15"/>
      <c r="FD396" s="15"/>
      <c r="FE396" s="15"/>
      <c r="FF396" s="15"/>
      <c r="FG396" s="15"/>
      <c r="FH396" s="15"/>
      <c r="FI396" s="15"/>
      <c r="FJ396" s="15"/>
      <c r="FK396" s="15"/>
      <c r="FL396" s="15"/>
      <c r="FM396" s="15"/>
      <c r="FN396" s="15"/>
      <c r="FO396" s="15"/>
      <c r="FP396" s="15"/>
      <c r="FQ396" s="15"/>
      <c r="FR396" s="15"/>
      <c r="FS396" s="15"/>
      <c r="FT396" s="15"/>
      <c r="FU396" s="15"/>
      <c r="FV396" s="15"/>
    </row>
    <row r="397" spans="22:178" s="2" customFormat="1">
      <c r="V397" s="15"/>
      <c r="DK397" s="15"/>
      <c r="DL397" s="15"/>
      <c r="DM397" s="15"/>
      <c r="DN397" s="15"/>
      <c r="DO397" s="15"/>
      <c r="DP397" s="15"/>
      <c r="DQ397" s="15"/>
      <c r="DR397" s="15"/>
      <c r="DS397" s="15"/>
      <c r="DT397" s="15"/>
      <c r="DU397" s="15"/>
      <c r="DV397" s="15"/>
      <c r="DW397" s="15"/>
      <c r="DX397" s="15"/>
      <c r="DY397" s="15"/>
      <c r="DZ397" s="15"/>
      <c r="EA397" s="15"/>
      <c r="EB397" s="15"/>
      <c r="EC397" s="15"/>
      <c r="ED397" s="15"/>
      <c r="EE397" s="15"/>
      <c r="EF397" s="15"/>
      <c r="EG397" s="15"/>
      <c r="EH397" s="15"/>
      <c r="EI397" s="15"/>
      <c r="EJ397" s="15"/>
      <c r="EK397" s="15"/>
      <c r="EL397" s="15"/>
      <c r="EM397" s="15"/>
      <c r="EN397" s="15"/>
      <c r="EO397" s="15"/>
      <c r="EP397" s="15"/>
      <c r="EQ397" s="15"/>
      <c r="ER397" s="15"/>
      <c r="ES397" s="15"/>
      <c r="ET397" s="15"/>
      <c r="EU397" s="15"/>
      <c r="EV397" s="15"/>
      <c r="EW397" s="15"/>
      <c r="EX397" s="15"/>
      <c r="EY397" s="15"/>
      <c r="EZ397" s="15"/>
      <c r="FA397" s="15"/>
      <c r="FB397" s="15"/>
      <c r="FC397" s="15"/>
      <c r="FD397" s="15"/>
      <c r="FE397" s="15"/>
      <c r="FF397" s="15"/>
      <c r="FG397" s="15"/>
      <c r="FH397" s="15"/>
      <c r="FI397" s="15"/>
      <c r="FJ397" s="15"/>
      <c r="FK397" s="15"/>
      <c r="FL397" s="15"/>
      <c r="FM397" s="15"/>
      <c r="FN397" s="15"/>
      <c r="FO397" s="15"/>
      <c r="FP397" s="15"/>
      <c r="FQ397" s="15"/>
      <c r="FR397" s="15"/>
      <c r="FS397" s="15"/>
      <c r="FT397" s="15"/>
      <c r="FU397" s="15"/>
      <c r="FV397" s="15"/>
    </row>
    <row r="398" spans="22:178" s="2" customFormat="1">
      <c r="V398" s="15"/>
      <c r="DK398" s="15"/>
      <c r="DL398" s="15"/>
      <c r="DM398" s="15"/>
      <c r="DN398" s="15"/>
      <c r="DO398" s="15"/>
      <c r="DP398" s="15"/>
      <c r="DQ398" s="15"/>
      <c r="DR398" s="15"/>
      <c r="DS398" s="15"/>
      <c r="DT398" s="15"/>
      <c r="DU398" s="15"/>
      <c r="DV398" s="15"/>
      <c r="DW398" s="15"/>
      <c r="DX398" s="15"/>
      <c r="DY398" s="15"/>
      <c r="DZ398" s="15"/>
      <c r="EA398" s="15"/>
      <c r="EB398" s="15"/>
      <c r="EC398" s="15"/>
      <c r="ED398" s="15"/>
      <c r="EE398" s="15"/>
      <c r="EF398" s="15"/>
      <c r="EG398" s="15"/>
      <c r="EH398" s="15"/>
      <c r="EI398" s="15"/>
      <c r="EJ398" s="15"/>
      <c r="EK398" s="15"/>
      <c r="EL398" s="15"/>
      <c r="EM398" s="15"/>
      <c r="EN398" s="15"/>
      <c r="EO398" s="15"/>
      <c r="EP398" s="15"/>
      <c r="EQ398" s="15"/>
      <c r="ER398" s="15"/>
      <c r="ES398" s="15"/>
      <c r="ET398" s="15"/>
      <c r="EU398" s="15"/>
      <c r="EV398" s="15"/>
      <c r="EW398" s="15"/>
      <c r="EX398" s="15"/>
      <c r="EY398" s="15"/>
      <c r="EZ398" s="15"/>
      <c r="FA398" s="15"/>
      <c r="FB398" s="15"/>
      <c r="FC398" s="15"/>
      <c r="FD398" s="15"/>
      <c r="FE398" s="15"/>
      <c r="FF398" s="15"/>
      <c r="FG398" s="15"/>
      <c r="FH398" s="15"/>
      <c r="FI398" s="15"/>
      <c r="FJ398" s="15"/>
      <c r="FK398" s="15"/>
      <c r="FL398" s="15"/>
      <c r="FM398" s="15"/>
      <c r="FN398" s="15"/>
      <c r="FO398" s="15"/>
      <c r="FP398" s="15"/>
      <c r="FQ398" s="15"/>
      <c r="FR398" s="15"/>
      <c r="FS398" s="15"/>
      <c r="FT398" s="15"/>
      <c r="FU398" s="15"/>
      <c r="FV398" s="15"/>
    </row>
    <row r="399" spans="22:178" s="2" customFormat="1">
      <c r="V399" s="15"/>
      <c r="DK399" s="15"/>
      <c r="DL399" s="15"/>
      <c r="DM399" s="15"/>
      <c r="DN399" s="15"/>
      <c r="DO399" s="15"/>
      <c r="DP399" s="15"/>
      <c r="DQ399" s="15"/>
      <c r="DR399" s="15"/>
      <c r="DS399" s="15"/>
      <c r="DT399" s="15"/>
      <c r="DU399" s="15"/>
      <c r="DV399" s="15"/>
      <c r="DW399" s="15"/>
      <c r="DX399" s="15"/>
      <c r="DY399" s="15"/>
      <c r="DZ399" s="15"/>
      <c r="EA399" s="15"/>
      <c r="EB399" s="15"/>
      <c r="EC399" s="15"/>
      <c r="ED399" s="15"/>
      <c r="EE399" s="15"/>
      <c r="EF399" s="15"/>
      <c r="EG399" s="15"/>
      <c r="EH399" s="15"/>
      <c r="EI399" s="15"/>
      <c r="EJ399" s="15"/>
      <c r="EK399" s="15"/>
      <c r="EL399" s="15"/>
      <c r="EM399" s="15"/>
      <c r="EN399" s="15"/>
      <c r="EO399" s="15"/>
      <c r="EP399" s="15"/>
      <c r="EQ399" s="15"/>
      <c r="ER399" s="15"/>
      <c r="ES399" s="15"/>
      <c r="ET399" s="15"/>
      <c r="EU399" s="15"/>
      <c r="EV399" s="15"/>
      <c r="EW399" s="15"/>
      <c r="EX399" s="15"/>
      <c r="EY399" s="15"/>
      <c r="EZ399" s="15"/>
      <c r="FA399" s="15"/>
      <c r="FB399" s="15"/>
      <c r="FC399" s="15"/>
      <c r="FD399" s="15"/>
      <c r="FE399" s="15"/>
      <c r="FF399" s="15"/>
      <c r="FG399" s="15"/>
      <c r="FH399" s="15"/>
      <c r="FI399" s="15"/>
      <c r="FJ399" s="15"/>
      <c r="FK399" s="15"/>
      <c r="FL399" s="15"/>
      <c r="FM399" s="15"/>
      <c r="FN399" s="15"/>
      <c r="FO399" s="15"/>
      <c r="FP399" s="15"/>
      <c r="FQ399" s="15"/>
      <c r="FR399" s="15"/>
      <c r="FS399" s="15"/>
      <c r="FT399" s="15"/>
      <c r="FU399" s="15"/>
      <c r="FV399" s="15"/>
    </row>
    <row r="400" spans="22:178" s="2" customFormat="1">
      <c r="V400" s="15"/>
      <c r="DK400" s="15"/>
      <c r="DL400" s="15"/>
      <c r="DM400" s="15"/>
      <c r="DN400" s="15"/>
      <c r="DO400" s="15"/>
      <c r="DP400" s="15"/>
      <c r="DQ400" s="15"/>
      <c r="DR400" s="15"/>
      <c r="DS400" s="15"/>
      <c r="DT400" s="15"/>
      <c r="DU400" s="15"/>
      <c r="DV400" s="15"/>
      <c r="DW400" s="15"/>
      <c r="DX400" s="15"/>
      <c r="DY400" s="15"/>
      <c r="DZ400" s="15"/>
      <c r="EA400" s="15"/>
      <c r="EB400" s="15"/>
      <c r="EC400" s="15"/>
      <c r="ED400" s="15"/>
      <c r="EE400" s="15"/>
      <c r="EF400" s="15"/>
      <c r="EG400" s="15"/>
      <c r="EH400" s="15"/>
      <c r="EI400" s="15"/>
      <c r="EJ400" s="15"/>
      <c r="EK400" s="15"/>
      <c r="EL400" s="15"/>
      <c r="EM400" s="15"/>
      <c r="EN400" s="15"/>
      <c r="EO400" s="15"/>
      <c r="EP400" s="15"/>
      <c r="EQ400" s="15"/>
      <c r="ER400" s="15"/>
      <c r="ES400" s="15"/>
      <c r="ET400" s="15"/>
      <c r="EU400" s="15"/>
      <c r="EV400" s="15"/>
      <c r="EW400" s="15"/>
      <c r="EX400" s="15"/>
      <c r="EY400" s="15"/>
      <c r="EZ400" s="15"/>
      <c r="FA400" s="15"/>
      <c r="FB400" s="15"/>
      <c r="FC400" s="15"/>
      <c r="FD400" s="15"/>
      <c r="FE400" s="15"/>
      <c r="FF400" s="15"/>
      <c r="FG400" s="15"/>
      <c r="FH400" s="15"/>
      <c r="FI400" s="15"/>
      <c r="FJ400" s="15"/>
      <c r="FK400" s="15"/>
      <c r="FL400" s="15"/>
      <c r="FM400" s="15"/>
      <c r="FN400" s="15"/>
      <c r="FO400" s="15"/>
      <c r="FP400" s="15"/>
      <c r="FQ400" s="15"/>
      <c r="FR400" s="15"/>
      <c r="FS400" s="15"/>
      <c r="FT400" s="15"/>
      <c r="FU400" s="15"/>
      <c r="FV400" s="15"/>
    </row>
    <row r="401" spans="22:178" s="2" customFormat="1">
      <c r="V401" s="15"/>
      <c r="DK401" s="15"/>
      <c r="DL401" s="15"/>
      <c r="DM401" s="15"/>
      <c r="DN401" s="15"/>
      <c r="DO401" s="15"/>
      <c r="DP401" s="15"/>
      <c r="DQ401" s="15"/>
      <c r="DR401" s="15"/>
      <c r="DS401" s="15"/>
      <c r="DT401" s="15"/>
      <c r="DU401" s="15"/>
      <c r="DV401" s="15"/>
      <c r="DW401" s="15"/>
      <c r="DX401" s="15"/>
      <c r="DY401" s="15"/>
      <c r="DZ401" s="15"/>
      <c r="EA401" s="15"/>
      <c r="EB401" s="15"/>
      <c r="EC401" s="15"/>
      <c r="ED401" s="15"/>
      <c r="EE401" s="15"/>
      <c r="EF401" s="15"/>
      <c r="EG401" s="15"/>
      <c r="EH401" s="15"/>
      <c r="EI401" s="15"/>
      <c r="EJ401" s="15"/>
      <c r="EK401" s="15"/>
      <c r="EL401" s="15"/>
      <c r="EM401" s="15"/>
      <c r="EN401" s="15"/>
      <c r="EO401" s="15"/>
      <c r="EP401" s="15"/>
      <c r="EQ401" s="15"/>
      <c r="ER401" s="15"/>
      <c r="ES401" s="15"/>
      <c r="ET401" s="15"/>
      <c r="EU401" s="15"/>
      <c r="EV401" s="15"/>
      <c r="EW401" s="15"/>
      <c r="EX401" s="15"/>
      <c r="EY401" s="15"/>
      <c r="EZ401" s="15"/>
      <c r="FA401" s="15"/>
      <c r="FB401" s="15"/>
      <c r="FC401" s="15"/>
      <c r="FD401" s="15"/>
      <c r="FE401" s="15"/>
      <c r="FF401" s="15"/>
      <c r="FG401" s="15"/>
      <c r="FH401" s="15"/>
      <c r="FI401" s="15"/>
      <c r="FJ401" s="15"/>
      <c r="FK401" s="15"/>
      <c r="FL401" s="15"/>
      <c r="FM401" s="15"/>
      <c r="FN401" s="15"/>
      <c r="FO401" s="15"/>
      <c r="FP401" s="15"/>
      <c r="FQ401" s="15"/>
      <c r="FR401" s="15"/>
      <c r="FS401" s="15"/>
      <c r="FT401" s="15"/>
      <c r="FU401" s="15"/>
      <c r="FV401" s="15"/>
    </row>
    <row r="402" spans="22:178" s="2" customFormat="1">
      <c r="V402" s="15"/>
      <c r="DK402" s="15"/>
      <c r="DL402" s="15"/>
      <c r="DM402" s="15"/>
      <c r="DN402" s="15"/>
      <c r="DO402" s="15"/>
      <c r="DP402" s="15"/>
      <c r="DQ402" s="15"/>
      <c r="DR402" s="15"/>
      <c r="DS402" s="15"/>
      <c r="DT402" s="15"/>
      <c r="DU402" s="15"/>
      <c r="DV402" s="15"/>
      <c r="DW402" s="15"/>
      <c r="DX402" s="15"/>
      <c r="DY402" s="15"/>
      <c r="DZ402" s="15"/>
      <c r="EA402" s="15"/>
      <c r="EB402" s="15"/>
      <c r="EC402" s="15"/>
      <c r="ED402" s="15"/>
      <c r="EE402" s="15"/>
      <c r="EF402" s="15"/>
      <c r="EG402" s="15"/>
      <c r="EH402" s="15"/>
      <c r="EI402" s="15"/>
      <c r="EJ402" s="15"/>
      <c r="EK402" s="15"/>
      <c r="EL402" s="15"/>
      <c r="EM402" s="15"/>
      <c r="EN402" s="15"/>
      <c r="EO402" s="15"/>
      <c r="EP402" s="15"/>
      <c r="EQ402" s="15"/>
      <c r="ER402" s="15"/>
      <c r="ES402" s="15"/>
      <c r="ET402" s="15"/>
      <c r="EU402" s="15"/>
      <c r="EV402" s="15"/>
      <c r="EW402" s="15"/>
      <c r="EX402" s="15"/>
      <c r="EY402" s="15"/>
      <c r="EZ402" s="15"/>
      <c r="FA402" s="15"/>
      <c r="FB402" s="15"/>
      <c r="FC402" s="15"/>
      <c r="FD402" s="15"/>
      <c r="FE402" s="15"/>
      <c r="FF402" s="15"/>
      <c r="FG402" s="15"/>
      <c r="FH402" s="15"/>
      <c r="FI402" s="15"/>
      <c r="FJ402" s="15"/>
      <c r="FK402" s="15"/>
      <c r="FL402" s="15"/>
      <c r="FM402" s="15"/>
      <c r="FN402" s="15"/>
      <c r="FO402" s="15"/>
      <c r="FP402" s="15"/>
      <c r="FQ402" s="15"/>
      <c r="FR402" s="15"/>
      <c r="FS402" s="15"/>
      <c r="FT402" s="15"/>
      <c r="FU402" s="15"/>
      <c r="FV402" s="15"/>
    </row>
    <row r="403" spans="22:178" s="2" customFormat="1">
      <c r="V403" s="15"/>
      <c r="DK403" s="15"/>
      <c r="DL403" s="15"/>
      <c r="DM403" s="15"/>
      <c r="DN403" s="15"/>
      <c r="DO403" s="15"/>
      <c r="DP403" s="15"/>
      <c r="DQ403" s="15"/>
      <c r="DR403" s="15"/>
      <c r="DS403" s="15"/>
      <c r="DT403" s="15"/>
      <c r="DU403" s="15"/>
      <c r="DV403" s="15"/>
      <c r="DW403" s="15"/>
      <c r="DX403" s="15"/>
      <c r="DY403" s="15"/>
      <c r="DZ403" s="15"/>
      <c r="EA403" s="15"/>
      <c r="EB403" s="15"/>
      <c r="EC403" s="15"/>
      <c r="ED403" s="15"/>
      <c r="EE403" s="15"/>
      <c r="EF403" s="15"/>
      <c r="EG403" s="15"/>
      <c r="EH403" s="15"/>
      <c r="EI403" s="15"/>
      <c r="EJ403" s="15"/>
      <c r="EK403" s="15"/>
      <c r="EL403" s="15"/>
      <c r="EM403" s="15"/>
      <c r="EN403" s="15"/>
      <c r="EO403" s="15"/>
      <c r="EP403" s="15"/>
      <c r="EQ403" s="15"/>
      <c r="ER403" s="15"/>
      <c r="ES403" s="15"/>
      <c r="ET403" s="15"/>
      <c r="EU403" s="15"/>
      <c r="EV403" s="15"/>
      <c r="EW403" s="15"/>
      <c r="EX403" s="15"/>
      <c r="EY403" s="15"/>
      <c r="EZ403" s="15"/>
      <c r="FA403" s="15"/>
      <c r="FB403" s="15"/>
      <c r="FC403" s="15"/>
      <c r="FD403" s="15"/>
      <c r="FE403" s="15"/>
      <c r="FF403" s="15"/>
      <c r="FG403" s="15"/>
      <c r="FH403" s="15"/>
      <c r="FI403" s="15"/>
      <c r="FJ403" s="15"/>
      <c r="FK403" s="15"/>
      <c r="FL403" s="15"/>
      <c r="FM403" s="15"/>
      <c r="FN403" s="15"/>
      <c r="FO403" s="15"/>
      <c r="FP403" s="15"/>
      <c r="FQ403" s="15"/>
      <c r="FR403" s="15"/>
      <c r="FS403" s="15"/>
      <c r="FT403" s="15"/>
      <c r="FU403" s="15"/>
      <c r="FV403" s="15"/>
    </row>
    <row r="404" spans="22:178" s="2" customFormat="1">
      <c r="V404" s="15"/>
      <c r="DK404" s="15"/>
      <c r="DL404" s="15"/>
      <c r="DM404" s="15"/>
      <c r="DN404" s="15"/>
      <c r="DO404" s="15"/>
      <c r="DP404" s="15"/>
      <c r="DQ404" s="15"/>
      <c r="DR404" s="15"/>
      <c r="DS404" s="15"/>
      <c r="DT404" s="15"/>
      <c r="DU404" s="15"/>
      <c r="DV404" s="15"/>
      <c r="DW404" s="15"/>
      <c r="DX404" s="15"/>
      <c r="DY404" s="15"/>
      <c r="DZ404" s="15"/>
      <c r="EA404" s="15"/>
      <c r="EB404" s="15"/>
      <c r="EC404" s="15"/>
      <c r="ED404" s="15"/>
      <c r="EE404" s="15"/>
      <c r="EF404" s="15"/>
      <c r="EG404" s="15"/>
      <c r="EH404" s="15"/>
      <c r="EI404" s="15"/>
      <c r="EJ404" s="15"/>
      <c r="EK404" s="15"/>
      <c r="EL404" s="15"/>
      <c r="EM404" s="15"/>
      <c r="EN404" s="15"/>
      <c r="EO404" s="15"/>
      <c r="EP404" s="15"/>
      <c r="EQ404" s="15"/>
      <c r="ER404" s="15"/>
      <c r="ES404" s="15"/>
      <c r="ET404" s="15"/>
      <c r="EU404" s="15"/>
      <c r="EV404" s="15"/>
      <c r="EW404" s="15"/>
      <c r="EX404" s="15"/>
      <c r="EY404" s="15"/>
      <c r="EZ404" s="15"/>
      <c r="FA404" s="15"/>
      <c r="FB404" s="15"/>
      <c r="FC404" s="15"/>
      <c r="FD404" s="15"/>
      <c r="FE404" s="15"/>
      <c r="FF404" s="15"/>
      <c r="FG404" s="15"/>
      <c r="FH404" s="15"/>
      <c r="FI404" s="15"/>
      <c r="FJ404" s="15"/>
      <c r="FK404" s="15"/>
      <c r="FL404" s="15"/>
      <c r="FM404" s="15"/>
      <c r="FN404" s="15"/>
      <c r="FO404" s="15"/>
      <c r="FP404" s="15"/>
      <c r="FQ404" s="15"/>
      <c r="FR404" s="15"/>
      <c r="FS404" s="15"/>
      <c r="FT404" s="15"/>
      <c r="FU404" s="15"/>
      <c r="FV404" s="15"/>
    </row>
    <row r="405" spans="22:178" s="2" customFormat="1">
      <c r="V405" s="15"/>
      <c r="DK405" s="15"/>
      <c r="DL405" s="15"/>
      <c r="DM405" s="15"/>
      <c r="DN405" s="15"/>
      <c r="DO405" s="15"/>
      <c r="DP405" s="15"/>
      <c r="DQ405" s="15"/>
      <c r="DR405" s="15"/>
      <c r="DS405" s="15"/>
      <c r="DT405" s="15"/>
      <c r="DU405" s="15"/>
      <c r="DV405" s="15"/>
      <c r="DW405" s="15"/>
      <c r="DX405" s="15"/>
      <c r="DY405" s="15"/>
      <c r="DZ405" s="15"/>
      <c r="EA405" s="15"/>
      <c r="EB405" s="15"/>
      <c r="EC405" s="15"/>
      <c r="ED405" s="15"/>
      <c r="EE405" s="15"/>
      <c r="EF405" s="15"/>
      <c r="EG405" s="15"/>
      <c r="EH405" s="15"/>
      <c r="EI405" s="15"/>
      <c r="EJ405" s="15"/>
      <c r="EK405" s="15"/>
      <c r="EL405" s="15"/>
      <c r="EM405" s="15"/>
      <c r="EN405" s="15"/>
      <c r="EO405" s="15"/>
      <c r="EP405" s="15"/>
      <c r="EQ405" s="15"/>
      <c r="ER405" s="15"/>
      <c r="ES405" s="15"/>
      <c r="ET405" s="15"/>
      <c r="EU405" s="15"/>
      <c r="EV405" s="15"/>
      <c r="EW405" s="15"/>
      <c r="EX405" s="15"/>
      <c r="EY405" s="15"/>
      <c r="EZ405" s="15"/>
      <c r="FA405" s="15"/>
      <c r="FB405" s="15"/>
      <c r="FC405" s="15"/>
      <c r="FD405" s="15"/>
      <c r="FE405" s="15"/>
      <c r="FF405" s="15"/>
      <c r="FG405" s="15"/>
      <c r="FH405" s="15"/>
      <c r="FI405" s="15"/>
      <c r="FJ405" s="15"/>
      <c r="FK405" s="15"/>
      <c r="FL405" s="15"/>
      <c r="FM405" s="15"/>
      <c r="FN405" s="15"/>
      <c r="FO405" s="15"/>
      <c r="FP405" s="15"/>
      <c r="FQ405" s="15"/>
      <c r="FR405" s="15"/>
      <c r="FS405" s="15"/>
      <c r="FT405" s="15"/>
      <c r="FU405" s="15"/>
      <c r="FV405" s="15"/>
    </row>
    <row r="406" spans="22:178" s="2" customFormat="1">
      <c r="V406" s="15"/>
      <c r="DK406" s="15"/>
      <c r="DL406" s="15"/>
      <c r="DM406" s="15"/>
      <c r="DN406" s="15"/>
      <c r="DO406" s="15"/>
      <c r="DP406" s="15"/>
      <c r="DQ406" s="15"/>
      <c r="DR406" s="15"/>
      <c r="DS406" s="15"/>
      <c r="DT406" s="15"/>
      <c r="DU406" s="15"/>
      <c r="DV406" s="15"/>
      <c r="DW406" s="15"/>
      <c r="DX406" s="15"/>
      <c r="DY406" s="15"/>
      <c r="DZ406" s="15"/>
      <c r="EA406" s="15"/>
      <c r="EB406" s="15"/>
      <c r="EC406" s="15"/>
      <c r="ED406" s="15"/>
      <c r="EE406" s="15"/>
      <c r="EF406" s="15"/>
      <c r="EG406" s="15"/>
      <c r="EH406" s="15"/>
      <c r="EI406" s="15"/>
      <c r="EJ406" s="15"/>
      <c r="EK406" s="15"/>
      <c r="EL406" s="15"/>
      <c r="EM406" s="15"/>
      <c r="EN406" s="15"/>
      <c r="EO406" s="15"/>
      <c r="EP406" s="15"/>
      <c r="EQ406" s="15"/>
      <c r="ER406" s="15"/>
      <c r="ES406" s="15"/>
      <c r="ET406" s="15"/>
      <c r="EU406" s="15"/>
      <c r="EV406" s="15"/>
      <c r="EW406" s="15"/>
      <c r="EX406" s="15"/>
      <c r="EY406" s="15"/>
      <c r="EZ406" s="15"/>
      <c r="FA406" s="15"/>
      <c r="FB406" s="15"/>
      <c r="FC406" s="15"/>
      <c r="FD406" s="15"/>
      <c r="FE406" s="15"/>
      <c r="FF406" s="15"/>
      <c r="FG406" s="15"/>
      <c r="FH406" s="15"/>
      <c r="FI406" s="15"/>
      <c r="FJ406" s="15"/>
      <c r="FK406" s="15"/>
      <c r="FL406" s="15"/>
      <c r="FM406" s="15"/>
      <c r="FN406" s="15"/>
      <c r="FO406" s="15"/>
      <c r="FP406" s="15"/>
      <c r="FQ406" s="15"/>
      <c r="FR406" s="15"/>
      <c r="FS406" s="15"/>
      <c r="FT406" s="15"/>
      <c r="FU406" s="15"/>
      <c r="FV406" s="15"/>
    </row>
    <row r="407" spans="22:178" s="2" customFormat="1">
      <c r="V407" s="15"/>
      <c r="DK407" s="15"/>
      <c r="DL407" s="15"/>
      <c r="DM407" s="15"/>
      <c r="DN407" s="15"/>
      <c r="DO407" s="15"/>
      <c r="DP407" s="15"/>
      <c r="DQ407" s="15"/>
      <c r="DR407" s="15"/>
      <c r="DS407" s="15"/>
      <c r="DT407" s="15"/>
      <c r="DU407" s="15"/>
      <c r="DV407" s="15"/>
      <c r="DW407" s="15"/>
      <c r="DX407" s="15"/>
      <c r="DY407" s="15"/>
      <c r="DZ407" s="15"/>
      <c r="EA407" s="15"/>
      <c r="EB407" s="15"/>
      <c r="EC407" s="15"/>
      <c r="ED407" s="15"/>
      <c r="EE407" s="15"/>
      <c r="EF407" s="15"/>
      <c r="EG407" s="15"/>
      <c r="EH407" s="15"/>
      <c r="EI407" s="15"/>
      <c r="EJ407" s="15"/>
      <c r="EK407" s="15"/>
      <c r="EL407" s="15"/>
      <c r="EM407" s="15"/>
      <c r="EN407" s="15"/>
      <c r="EO407" s="15"/>
      <c r="EP407" s="15"/>
      <c r="EQ407" s="15"/>
      <c r="ER407" s="15"/>
      <c r="ES407" s="15"/>
      <c r="ET407" s="15"/>
      <c r="EU407" s="15"/>
      <c r="EV407" s="15"/>
      <c r="EW407" s="15"/>
      <c r="EX407" s="15"/>
      <c r="EY407" s="15"/>
      <c r="EZ407" s="15"/>
      <c r="FA407" s="15"/>
      <c r="FB407" s="15"/>
      <c r="FC407" s="15"/>
      <c r="FD407" s="15"/>
      <c r="FE407" s="15"/>
      <c r="FF407" s="15"/>
      <c r="FG407" s="15"/>
      <c r="FH407" s="15"/>
      <c r="FI407" s="15"/>
      <c r="FJ407" s="15"/>
      <c r="FK407" s="15"/>
      <c r="FL407" s="15"/>
      <c r="FM407" s="15"/>
      <c r="FN407" s="15"/>
      <c r="FO407" s="15"/>
      <c r="FP407" s="15"/>
      <c r="FQ407" s="15"/>
      <c r="FR407" s="15"/>
      <c r="FS407" s="15"/>
      <c r="FT407" s="15"/>
      <c r="FU407" s="15"/>
      <c r="FV407" s="15"/>
    </row>
    <row r="408" spans="22:178" s="2" customFormat="1">
      <c r="V408" s="15"/>
      <c r="DK408" s="15"/>
      <c r="DL408" s="15"/>
      <c r="DM408" s="15"/>
      <c r="DN408" s="15"/>
      <c r="DO408" s="15"/>
      <c r="DP408" s="15"/>
      <c r="DQ408" s="15"/>
      <c r="DR408" s="15"/>
      <c r="DS408" s="15"/>
      <c r="DT408" s="15"/>
      <c r="DU408" s="15"/>
      <c r="DV408" s="15"/>
      <c r="DW408" s="15"/>
      <c r="DX408" s="15"/>
      <c r="DY408" s="15"/>
      <c r="DZ408" s="15"/>
      <c r="EA408" s="15"/>
      <c r="EB408" s="15"/>
      <c r="EC408" s="15"/>
      <c r="ED408" s="15"/>
      <c r="EE408" s="15"/>
      <c r="EF408" s="15"/>
      <c r="EG408" s="15"/>
      <c r="EH408" s="15"/>
      <c r="EI408" s="15"/>
      <c r="EJ408" s="15"/>
      <c r="EK408" s="15"/>
      <c r="EL408" s="15"/>
      <c r="EM408" s="15"/>
      <c r="EN408" s="15"/>
      <c r="EO408" s="15"/>
      <c r="EP408" s="15"/>
      <c r="EQ408" s="15"/>
      <c r="ER408" s="15"/>
      <c r="ES408" s="15"/>
      <c r="ET408" s="15"/>
      <c r="EU408" s="15"/>
      <c r="EV408" s="15"/>
      <c r="EW408" s="15"/>
      <c r="EX408" s="15"/>
      <c r="EY408" s="15"/>
      <c r="EZ408" s="15"/>
      <c r="FA408" s="15"/>
      <c r="FB408" s="15"/>
      <c r="FC408" s="15"/>
      <c r="FD408" s="15"/>
      <c r="FE408" s="15"/>
      <c r="FF408" s="15"/>
      <c r="FG408" s="15"/>
      <c r="FH408" s="15"/>
      <c r="FI408" s="15"/>
      <c r="FJ408" s="15"/>
      <c r="FK408" s="15"/>
      <c r="FL408" s="15"/>
      <c r="FM408" s="15"/>
      <c r="FN408" s="15"/>
      <c r="FO408" s="15"/>
      <c r="FP408" s="15"/>
      <c r="FQ408" s="15"/>
      <c r="FR408" s="15"/>
      <c r="FS408" s="15"/>
      <c r="FT408" s="15"/>
      <c r="FU408" s="15"/>
      <c r="FV408" s="15"/>
    </row>
    <row r="409" spans="22:178" s="2" customFormat="1">
      <c r="V409" s="15"/>
      <c r="DK409" s="15"/>
      <c r="DL409" s="15"/>
      <c r="DM409" s="15"/>
      <c r="DN409" s="15"/>
      <c r="DO409" s="15"/>
      <c r="DP409" s="15"/>
      <c r="DQ409" s="15"/>
      <c r="DR409" s="15"/>
      <c r="DS409" s="15"/>
      <c r="DT409" s="15"/>
      <c r="DU409" s="15"/>
      <c r="DV409" s="15"/>
      <c r="DW409" s="15"/>
      <c r="DX409" s="15"/>
      <c r="DY409" s="15"/>
      <c r="DZ409" s="15"/>
      <c r="EA409" s="15"/>
      <c r="EB409" s="15"/>
      <c r="EC409" s="15"/>
      <c r="ED409" s="15"/>
      <c r="EE409" s="15"/>
      <c r="EF409" s="15"/>
      <c r="EG409" s="15"/>
      <c r="EH409" s="15"/>
      <c r="EI409" s="15"/>
      <c r="EJ409" s="15"/>
      <c r="EK409" s="15"/>
      <c r="EL409" s="15"/>
      <c r="EM409" s="15"/>
      <c r="EN409" s="15"/>
      <c r="EO409" s="15"/>
      <c r="EP409" s="15"/>
      <c r="EQ409" s="15"/>
      <c r="ER409" s="15"/>
      <c r="ES409" s="15"/>
      <c r="ET409" s="15"/>
      <c r="EU409" s="15"/>
      <c r="EV409" s="15"/>
      <c r="EW409" s="15"/>
      <c r="EX409" s="15"/>
      <c r="EY409" s="15"/>
      <c r="EZ409" s="15"/>
      <c r="FA409" s="15"/>
      <c r="FB409" s="15"/>
      <c r="FC409" s="15"/>
      <c r="FD409" s="15"/>
      <c r="FE409" s="15"/>
      <c r="FF409" s="15"/>
      <c r="FG409" s="15"/>
      <c r="FH409" s="15"/>
      <c r="FI409" s="15"/>
      <c r="FJ409" s="15"/>
      <c r="FK409" s="15"/>
      <c r="FL409" s="15"/>
      <c r="FM409" s="15"/>
      <c r="FN409" s="15"/>
      <c r="FO409" s="15"/>
      <c r="FP409" s="15"/>
      <c r="FQ409" s="15"/>
      <c r="FR409" s="15"/>
      <c r="FS409" s="15"/>
      <c r="FT409" s="15"/>
      <c r="FU409" s="15"/>
      <c r="FV409" s="15"/>
    </row>
    <row r="410" spans="22:178" s="2" customFormat="1">
      <c r="V410" s="15"/>
      <c r="DK410" s="15"/>
      <c r="DL410" s="15"/>
      <c r="DM410" s="15"/>
      <c r="DN410" s="15"/>
      <c r="DO410" s="15"/>
      <c r="DP410" s="15"/>
      <c r="DQ410" s="15"/>
      <c r="DR410" s="15"/>
      <c r="DS410" s="15"/>
      <c r="DT410" s="15"/>
      <c r="DU410" s="15"/>
      <c r="DV410" s="15"/>
      <c r="DW410" s="15"/>
      <c r="DX410" s="15"/>
      <c r="DY410" s="15"/>
      <c r="DZ410" s="15"/>
      <c r="EA410" s="15"/>
      <c r="EB410" s="15"/>
      <c r="EC410" s="15"/>
      <c r="ED410" s="15"/>
      <c r="EE410" s="15"/>
      <c r="EF410" s="15"/>
      <c r="EG410" s="15"/>
      <c r="EH410" s="15"/>
      <c r="EI410" s="15"/>
      <c r="EJ410" s="15"/>
      <c r="EK410" s="15"/>
      <c r="EL410" s="15"/>
      <c r="EM410" s="15"/>
      <c r="EN410" s="15"/>
      <c r="EO410" s="15"/>
      <c r="EP410" s="15"/>
      <c r="EQ410" s="15"/>
      <c r="ER410" s="15"/>
      <c r="ES410" s="15"/>
      <c r="ET410" s="15"/>
      <c r="EU410" s="15"/>
      <c r="EV410" s="15"/>
      <c r="EW410" s="15"/>
      <c r="EX410" s="15"/>
      <c r="EY410" s="15"/>
      <c r="EZ410" s="15"/>
      <c r="FA410" s="15"/>
      <c r="FB410" s="15"/>
      <c r="FC410" s="15"/>
      <c r="FD410" s="15"/>
      <c r="FE410" s="15"/>
      <c r="FF410" s="15"/>
      <c r="FG410" s="15"/>
      <c r="FH410" s="15"/>
      <c r="FI410" s="15"/>
      <c r="FJ410" s="15"/>
      <c r="FK410" s="15"/>
      <c r="FL410" s="15"/>
      <c r="FM410" s="15"/>
      <c r="FN410" s="15"/>
      <c r="FO410" s="15"/>
      <c r="FP410" s="15"/>
      <c r="FQ410" s="15"/>
      <c r="FR410" s="15"/>
      <c r="FS410" s="15"/>
      <c r="FT410" s="15"/>
      <c r="FU410" s="15"/>
      <c r="FV410" s="15"/>
    </row>
    <row r="411" spans="22:178" s="2" customFormat="1">
      <c r="V411" s="15"/>
      <c r="DK411" s="15"/>
      <c r="DL411" s="15"/>
      <c r="DM411" s="15"/>
      <c r="DN411" s="15"/>
      <c r="DO411" s="15"/>
      <c r="DP411" s="15"/>
      <c r="DQ411" s="15"/>
      <c r="DR411" s="15"/>
      <c r="DS411" s="15"/>
      <c r="DT411" s="15"/>
      <c r="DU411" s="15"/>
      <c r="DV411" s="15"/>
      <c r="DW411" s="15"/>
      <c r="DX411" s="15"/>
      <c r="DY411" s="15"/>
      <c r="DZ411" s="15"/>
      <c r="EA411" s="15"/>
      <c r="EB411" s="15"/>
      <c r="EC411" s="15"/>
      <c r="ED411" s="15"/>
      <c r="EE411" s="15"/>
      <c r="EF411" s="15"/>
      <c r="EG411" s="15"/>
      <c r="EH411" s="15"/>
      <c r="EI411" s="15"/>
      <c r="EJ411" s="15"/>
      <c r="EK411" s="15"/>
      <c r="EL411" s="15"/>
      <c r="EM411" s="15"/>
      <c r="EN411" s="15"/>
      <c r="EO411" s="15"/>
      <c r="EP411" s="15"/>
      <c r="EQ411" s="15"/>
      <c r="ER411" s="15"/>
      <c r="ES411" s="15"/>
      <c r="ET411" s="15"/>
      <c r="EU411" s="15"/>
      <c r="EV411" s="15"/>
      <c r="EW411" s="15"/>
      <c r="EX411" s="15"/>
      <c r="EY411" s="15"/>
      <c r="EZ411" s="15"/>
      <c r="FA411" s="15"/>
      <c r="FB411" s="15"/>
      <c r="FC411" s="15"/>
      <c r="FD411" s="15"/>
      <c r="FE411" s="15"/>
      <c r="FF411" s="15"/>
      <c r="FG411" s="15"/>
      <c r="FH411" s="15"/>
      <c r="FI411" s="15"/>
      <c r="FJ411" s="15"/>
      <c r="FK411" s="15"/>
      <c r="FL411" s="15"/>
      <c r="FM411" s="15"/>
      <c r="FN411" s="15"/>
      <c r="FO411" s="15"/>
      <c r="FP411" s="15"/>
      <c r="FQ411" s="15"/>
      <c r="FR411" s="15"/>
      <c r="FS411" s="15"/>
      <c r="FT411" s="15"/>
      <c r="FU411" s="15"/>
      <c r="FV411" s="15"/>
    </row>
    <row r="412" spans="22:178" s="2" customFormat="1">
      <c r="V412" s="15"/>
      <c r="DK412" s="15"/>
      <c r="DL412" s="15"/>
      <c r="DM412" s="15"/>
      <c r="DN412" s="15"/>
      <c r="DO412" s="15"/>
      <c r="DP412" s="15"/>
      <c r="DQ412" s="15"/>
      <c r="DR412" s="15"/>
      <c r="DS412" s="15"/>
      <c r="DT412" s="15"/>
      <c r="DU412" s="15"/>
      <c r="DV412" s="15"/>
      <c r="DW412" s="15"/>
      <c r="DX412" s="15"/>
      <c r="DY412" s="15"/>
      <c r="DZ412" s="15"/>
      <c r="EA412" s="15"/>
      <c r="EB412" s="15"/>
      <c r="EC412" s="15"/>
      <c r="ED412" s="15"/>
      <c r="EE412" s="15"/>
      <c r="EF412" s="15"/>
      <c r="EG412" s="15"/>
      <c r="EH412" s="15"/>
      <c r="EI412" s="15"/>
      <c r="EJ412" s="15"/>
      <c r="EK412" s="15"/>
      <c r="EL412" s="15"/>
      <c r="EM412" s="15"/>
      <c r="EN412" s="15"/>
      <c r="EO412" s="15"/>
      <c r="EP412" s="15"/>
      <c r="EQ412" s="15"/>
      <c r="ER412" s="15"/>
      <c r="ES412" s="15"/>
      <c r="ET412" s="15"/>
      <c r="EU412" s="15"/>
      <c r="EV412" s="15"/>
      <c r="EW412" s="15"/>
      <c r="EX412" s="15"/>
      <c r="EY412" s="15"/>
      <c r="EZ412" s="15"/>
      <c r="FA412" s="15"/>
      <c r="FB412" s="15"/>
      <c r="FC412" s="15"/>
      <c r="FD412" s="15"/>
      <c r="FE412" s="15"/>
      <c r="FF412" s="15"/>
      <c r="FG412" s="15"/>
      <c r="FH412" s="15"/>
      <c r="FI412" s="15"/>
      <c r="FJ412" s="15"/>
      <c r="FK412" s="15"/>
      <c r="FL412" s="15"/>
      <c r="FM412" s="15"/>
      <c r="FN412" s="15"/>
      <c r="FO412" s="15"/>
      <c r="FP412" s="15"/>
      <c r="FQ412" s="15"/>
      <c r="FR412" s="15"/>
      <c r="FS412" s="15"/>
      <c r="FT412" s="15"/>
      <c r="FU412" s="15"/>
      <c r="FV412" s="15"/>
    </row>
    <row r="413" spans="22:178" s="2" customFormat="1">
      <c r="V413" s="15"/>
      <c r="DK413" s="15"/>
      <c r="DL413" s="15"/>
      <c r="DM413" s="15"/>
      <c r="DN413" s="15"/>
      <c r="DO413" s="15"/>
      <c r="DP413" s="15"/>
      <c r="DQ413" s="15"/>
      <c r="DR413" s="15"/>
      <c r="DS413" s="15"/>
      <c r="DT413" s="15"/>
      <c r="DU413" s="15"/>
      <c r="DV413" s="15"/>
      <c r="DW413" s="15"/>
      <c r="DX413" s="15"/>
      <c r="DY413" s="15"/>
      <c r="DZ413" s="15"/>
      <c r="EA413" s="15"/>
      <c r="EB413" s="15"/>
      <c r="EC413" s="15"/>
      <c r="ED413" s="15"/>
      <c r="EE413" s="15"/>
      <c r="EF413" s="15"/>
      <c r="EG413" s="15"/>
      <c r="EH413" s="15"/>
      <c r="EI413" s="15"/>
      <c r="EJ413" s="15"/>
      <c r="EK413" s="15"/>
      <c r="EL413" s="15"/>
      <c r="EM413" s="15"/>
      <c r="EN413" s="15"/>
      <c r="EO413" s="15"/>
      <c r="EP413" s="15"/>
      <c r="EQ413" s="15"/>
      <c r="ER413" s="15"/>
      <c r="ES413" s="15"/>
      <c r="ET413" s="15"/>
      <c r="EU413" s="15"/>
      <c r="EV413" s="15"/>
      <c r="EW413" s="15"/>
      <c r="EX413" s="15"/>
      <c r="EY413" s="15"/>
      <c r="EZ413" s="15"/>
      <c r="FA413" s="15"/>
      <c r="FB413" s="15"/>
      <c r="FC413" s="15"/>
      <c r="FD413" s="15"/>
      <c r="FE413" s="15"/>
      <c r="FF413" s="15"/>
      <c r="FG413" s="15"/>
      <c r="FH413" s="15"/>
      <c r="FI413" s="15"/>
      <c r="FJ413" s="15"/>
      <c r="FK413" s="15"/>
      <c r="FL413" s="15"/>
      <c r="FM413" s="15"/>
      <c r="FN413" s="15"/>
      <c r="FO413" s="15"/>
      <c r="FP413" s="15"/>
      <c r="FQ413" s="15"/>
      <c r="FR413" s="15"/>
      <c r="FS413" s="15"/>
      <c r="FT413" s="15"/>
      <c r="FU413" s="15"/>
      <c r="FV413" s="15"/>
    </row>
    <row r="414" spans="22:178" s="2" customFormat="1">
      <c r="V414" s="15"/>
      <c r="DK414" s="15"/>
      <c r="DL414" s="15"/>
      <c r="DM414" s="15"/>
      <c r="DN414" s="15"/>
      <c r="DO414" s="15"/>
      <c r="DP414" s="15"/>
      <c r="DQ414" s="15"/>
      <c r="DR414" s="15"/>
      <c r="DS414" s="15"/>
      <c r="DT414" s="15"/>
      <c r="DU414" s="15"/>
      <c r="DV414" s="15"/>
      <c r="DW414" s="15"/>
      <c r="DX414" s="15"/>
      <c r="DY414" s="15"/>
      <c r="DZ414" s="15"/>
      <c r="EA414" s="15"/>
      <c r="EB414" s="15"/>
      <c r="EC414" s="15"/>
      <c r="ED414" s="15"/>
      <c r="EE414" s="15"/>
      <c r="EF414" s="15"/>
      <c r="EG414" s="15"/>
      <c r="EH414" s="15"/>
      <c r="EI414" s="15"/>
      <c r="EJ414" s="15"/>
      <c r="EK414" s="15"/>
      <c r="EL414" s="15"/>
      <c r="EM414" s="15"/>
      <c r="EN414" s="15"/>
      <c r="EO414" s="15"/>
      <c r="EP414" s="15"/>
      <c r="EQ414" s="15"/>
      <c r="ER414" s="15"/>
      <c r="ES414" s="15"/>
      <c r="ET414" s="15"/>
      <c r="EU414" s="15"/>
      <c r="EV414" s="15"/>
      <c r="EW414" s="15"/>
      <c r="EX414" s="15"/>
      <c r="EY414" s="15"/>
      <c r="EZ414" s="15"/>
      <c r="FA414" s="15"/>
      <c r="FB414" s="15"/>
      <c r="FC414" s="15"/>
      <c r="FD414" s="15"/>
      <c r="FE414" s="15"/>
      <c r="FF414" s="15"/>
      <c r="FG414" s="15"/>
      <c r="FH414" s="15"/>
      <c r="FI414" s="15"/>
      <c r="FJ414" s="15"/>
      <c r="FK414" s="15"/>
      <c r="FL414" s="15"/>
      <c r="FM414" s="15"/>
      <c r="FN414" s="15"/>
      <c r="FO414" s="15"/>
      <c r="FP414" s="15"/>
      <c r="FQ414" s="15"/>
      <c r="FR414" s="15"/>
      <c r="FS414" s="15"/>
      <c r="FT414" s="15"/>
      <c r="FU414" s="15"/>
      <c r="FV414" s="15"/>
    </row>
    <row r="415" spans="22:178" s="2" customFormat="1">
      <c r="V415" s="15"/>
      <c r="DK415" s="15"/>
      <c r="DL415" s="15"/>
      <c r="DM415" s="15"/>
      <c r="DN415" s="15"/>
      <c r="DO415" s="15"/>
      <c r="DP415" s="15"/>
      <c r="DQ415" s="15"/>
      <c r="DR415" s="15"/>
      <c r="DS415" s="15"/>
      <c r="DT415" s="15"/>
      <c r="DU415" s="15"/>
      <c r="DV415" s="15"/>
      <c r="DW415" s="15"/>
      <c r="DX415" s="15"/>
      <c r="DY415" s="15"/>
      <c r="DZ415" s="15"/>
      <c r="EA415" s="15"/>
      <c r="EB415" s="15"/>
      <c r="EC415" s="15"/>
      <c r="ED415" s="15"/>
      <c r="EE415" s="15"/>
      <c r="EF415" s="15"/>
      <c r="EG415" s="15"/>
      <c r="EH415" s="15"/>
      <c r="EI415" s="15"/>
      <c r="EJ415" s="15"/>
      <c r="EK415" s="15"/>
      <c r="EL415" s="15"/>
      <c r="EM415" s="15"/>
      <c r="EN415" s="15"/>
      <c r="EO415" s="15"/>
      <c r="EP415" s="15"/>
      <c r="EQ415" s="15"/>
      <c r="ER415" s="15"/>
      <c r="ES415" s="15"/>
      <c r="ET415" s="15"/>
      <c r="EU415" s="15"/>
      <c r="EV415" s="15"/>
      <c r="EW415" s="15"/>
      <c r="EX415" s="15"/>
      <c r="EY415" s="15"/>
      <c r="EZ415" s="15"/>
      <c r="FA415" s="15"/>
      <c r="FB415" s="15"/>
      <c r="FC415" s="15"/>
      <c r="FD415" s="15"/>
      <c r="FE415" s="15"/>
      <c r="FF415" s="15"/>
      <c r="FG415" s="15"/>
      <c r="FH415" s="15"/>
      <c r="FI415" s="15"/>
      <c r="FJ415" s="15"/>
      <c r="FK415" s="15"/>
      <c r="FL415" s="15"/>
      <c r="FM415" s="15"/>
      <c r="FN415" s="15"/>
      <c r="FO415" s="15"/>
      <c r="FP415" s="15"/>
      <c r="FQ415" s="15"/>
      <c r="FR415" s="15"/>
      <c r="FS415" s="15"/>
      <c r="FT415" s="15"/>
      <c r="FU415" s="15"/>
      <c r="FV415" s="15"/>
    </row>
    <row r="416" spans="22:178" s="2" customFormat="1">
      <c r="V416" s="15"/>
      <c r="DK416" s="15"/>
      <c r="DL416" s="15"/>
      <c r="DM416" s="15"/>
      <c r="DN416" s="15"/>
      <c r="DO416" s="15"/>
      <c r="DP416" s="15"/>
      <c r="DQ416" s="15"/>
      <c r="DR416" s="15"/>
      <c r="DS416" s="15"/>
      <c r="DT416" s="15"/>
      <c r="DU416" s="15"/>
      <c r="DV416" s="15"/>
      <c r="DW416" s="15"/>
      <c r="DX416" s="15"/>
      <c r="DY416" s="15"/>
      <c r="DZ416" s="15"/>
      <c r="EA416" s="15"/>
      <c r="EB416" s="15"/>
      <c r="EC416" s="15"/>
      <c r="ED416" s="15"/>
      <c r="EE416" s="15"/>
      <c r="EF416" s="15"/>
      <c r="EG416" s="15"/>
      <c r="EH416" s="15"/>
      <c r="EI416" s="15"/>
      <c r="EJ416" s="15"/>
      <c r="EK416" s="15"/>
      <c r="EL416" s="15"/>
      <c r="EM416" s="15"/>
      <c r="EN416" s="15"/>
      <c r="EO416" s="15"/>
      <c r="EP416" s="15"/>
      <c r="EQ416" s="15"/>
      <c r="ER416" s="15"/>
      <c r="ES416" s="15"/>
      <c r="ET416" s="15"/>
      <c r="EU416" s="15"/>
      <c r="EV416" s="15"/>
      <c r="EW416" s="15"/>
      <c r="EX416" s="15"/>
      <c r="EY416" s="15"/>
      <c r="EZ416" s="15"/>
      <c r="FA416" s="15"/>
      <c r="FB416" s="15"/>
      <c r="FC416" s="15"/>
      <c r="FD416" s="15"/>
      <c r="FE416" s="15"/>
      <c r="FF416" s="15"/>
      <c r="FG416" s="15"/>
      <c r="FH416" s="15"/>
      <c r="FI416" s="15"/>
      <c r="FJ416" s="15"/>
      <c r="FK416" s="15"/>
      <c r="FL416" s="15"/>
      <c r="FM416" s="15"/>
      <c r="FN416" s="15"/>
      <c r="FO416" s="15"/>
      <c r="FP416" s="15"/>
      <c r="FQ416" s="15"/>
      <c r="FR416" s="15"/>
      <c r="FS416" s="15"/>
      <c r="FT416" s="15"/>
      <c r="FU416" s="15"/>
      <c r="FV416" s="15"/>
    </row>
    <row r="417" spans="22:178" s="2" customFormat="1">
      <c r="V417" s="15"/>
      <c r="DK417" s="15"/>
      <c r="DL417" s="15"/>
      <c r="DM417" s="15"/>
      <c r="DN417" s="15"/>
      <c r="DO417" s="15"/>
      <c r="DP417" s="15"/>
      <c r="DQ417" s="15"/>
      <c r="DR417" s="15"/>
      <c r="DS417" s="15"/>
      <c r="DT417" s="15"/>
      <c r="DU417" s="15"/>
      <c r="DV417" s="15"/>
      <c r="DW417" s="15"/>
      <c r="DX417" s="15"/>
      <c r="DY417" s="15"/>
      <c r="DZ417" s="15"/>
      <c r="EA417" s="15"/>
      <c r="EB417" s="15"/>
      <c r="EC417" s="15"/>
      <c r="ED417" s="15"/>
      <c r="EE417" s="15"/>
      <c r="EF417" s="15"/>
      <c r="EG417" s="15"/>
      <c r="EH417" s="15"/>
      <c r="EI417" s="15"/>
      <c r="EJ417" s="15"/>
      <c r="EK417" s="15"/>
      <c r="EL417" s="15"/>
      <c r="EM417" s="15"/>
      <c r="EN417" s="15"/>
      <c r="EO417" s="15"/>
      <c r="EP417" s="15"/>
      <c r="EQ417" s="15"/>
      <c r="ER417" s="15"/>
      <c r="ES417" s="15"/>
      <c r="ET417" s="15"/>
      <c r="EU417" s="15"/>
      <c r="EV417" s="15"/>
      <c r="EW417" s="15"/>
      <c r="EX417" s="15"/>
      <c r="EY417" s="15"/>
      <c r="EZ417" s="15"/>
      <c r="FA417" s="15"/>
      <c r="FB417" s="15"/>
      <c r="FC417" s="15"/>
      <c r="FD417" s="15"/>
      <c r="FE417" s="15"/>
      <c r="FF417" s="15"/>
      <c r="FG417" s="15"/>
      <c r="FH417" s="15"/>
      <c r="FI417" s="15"/>
      <c r="FJ417" s="15"/>
      <c r="FK417" s="15"/>
      <c r="FL417" s="15"/>
      <c r="FM417" s="15"/>
      <c r="FN417" s="15"/>
      <c r="FO417" s="15"/>
      <c r="FP417" s="15"/>
      <c r="FQ417" s="15"/>
      <c r="FR417" s="15"/>
      <c r="FS417" s="15"/>
      <c r="FT417" s="15"/>
      <c r="FU417" s="15"/>
      <c r="FV417" s="15"/>
    </row>
    <row r="418" spans="22:178" s="2" customFormat="1">
      <c r="V418" s="15"/>
      <c r="DK418" s="15"/>
      <c r="DL418" s="15"/>
      <c r="DM418" s="15"/>
      <c r="DN418" s="15"/>
      <c r="DO418" s="15"/>
      <c r="DP418" s="15"/>
      <c r="DQ418" s="15"/>
      <c r="DR418" s="15"/>
      <c r="DS418" s="15"/>
      <c r="DT418" s="15"/>
      <c r="DU418" s="15"/>
      <c r="DV418" s="15"/>
      <c r="DW418" s="15"/>
      <c r="DX418" s="15"/>
      <c r="DY418" s="15"/>
      <c r="DZ418" s="15"/>
      <c r="EA418" s="15"/>
      <c r="EB418" s="15"/>
      <c r="EC418" s="15"/>
      <c r="ED418" s="15"/>
      <c r="EE418" s="15"/>
      <c r="EF418" s="15"/>
      <c r="EG418" s="15"/>
      <c r="EH418" s="15"/>
      <c r="EI418" s="15"/>
      <c r="EJ418" s="15"/>
      <c r="EK418" s="15"/>
      <c r="EL418" s="15"/>
      <c r="EM418" s="15"/>
      <c r="EN418" s="15"/>
      <c r="EO418" s="15"/>
      <c r="EP418" s="15"/>
      <c r="EQ418" s="15"/>
      <c r="ER418" s="15"/>
      <c r="ES418" s="15"/>
      <c r="ET418" s="15"/>
      <c r="EU418" s="15"/>
      <c r="EV418" s="15"/>
      <c r="EW418" s="15"/>
      <c r="EX418" s="15"/>
      <c r="EY418" s="15"/>
      <c r="EZ418" s="15"/>
      <c r="FA418" s="15"/>
      <c r="FB418" s="15"/>
      <c r="FC418" s="15"/>
      <c r="FD418" s="15"/>
      <c r="FE418" s="15"/>
      <c r="FF418" s="15"/>
      <c r="FG418" s="15"/>
      <c r="FH418" s="15"/>
      <c r="FI418" s="15"/>
      <c r="FJ418" s="15"/>
      <c r="FK418" s="15"/>
      <c r="FL418" s="15"/>
      <c r="FM418" s="15"/>
      <c r="FN418" s="15"/>
      <c r="FO418" s="15"/>
      <c r="FP418" s="15"/>
      <c r="FQ418" s="15"/>
      <c r="FR418" s="15"/>
      <c r="FS418" s="15"/>
      <c r="FT418" s="15"/>
      <c r="FU418" s="15"/>
      <c r="FV418" s="15"/>
    </row>
    <row r="419" spans="22:178" s="2" customFormat="1">
      <c r="V419" s="15"/>
      <c r="DK419" s="15"/>
      <c r="DL419" s="15"/>
      <c r="DM419" s="15"/>
      <c r="DN419" s="15"/>
      <c r="DO419" s="15"/>
      <c r="DP419" s="15"/>
      <c r="DQ419" s="15"/>
      <c r="DR419" s="15"/>
      <c r="DS419" s="15"/>
      <c r="DT419" s="15"/>
      <c r="DU419" s="15"/>
      <c r="DV419" s="15"/>
      <c r="DW419" s="15"/>
      <c r="DX419" s="15"/>
      <c r="DY419" s="15"/>
      <c r="DZ419" s="15"/>
      <c r="EA419" s="15"/>
      <c r="EB419" s="15"/>
      <c r="EC419" s="15"/>
      <c r="ED419" s="15"/>
      <c r="EE419" s="15"/>
      <c r="EF419" s="15"/>
      <c r="EG419" s="15"/>
      <c r="EH419" s="15"/>
      <c r="EI419" s="15"/>
      <c r="EJ419" s="15"/>
      <c r="EK419" s="15"/>
      <c r="EL419" s="15"/>
      <c r="EM419" s="15"/>
      <c r="EN419" s="15"/>
      <c r="EO419" s="15"/>
      <c r="EP419" s="15"/>
      <c r="EQ419" s="15"/>
      <c r="ER419" s="15"/>
      <c r="ES419" s="15"/>
      <c r="ET419" s="15"/>
      <c r="EU419" s="15"/>
      <c r="EV419" s="15"/>
      <c r="EW419" s="15"/>
      <c r="EX419" s="15"/>
      <c r="EY419" s="15"/>
      <c r="EZ419" s="15"/>
      <c r="FA419" s="15"/>
      <c r="FB419" s="15"/>
      <c r="FC419" s="15"/>
      <c r="FD419" s="15"/>
      <c r="FE419" s="15"/>
      <c r="FF419" s="15"/>
      <c r="FG419" s="15"/>
      <c r="FH419" s="15"/>
      <c r="FI419" s="15"/>
      <c r="FJ419" s="15"/>
      <c r="FK419" s="15"/>
      <c r="FL419" s="15"/>
      <c r="FM419" s="15"/>
      <c r="FN419" s="15"/>
      <c r="FO419" s="15"/>
      <c r="FP419" s="15"/>
      <c r="FQ419" s="15"/>
      <c r="FR419" s="15"/>
      <c r="FS419" s="15"/>
      <c r="FT419" s="15"/>
      <c r="FU419" s="15"/>
      <c r="FV419" s="15"/>
    </row>
    <row r="420" spans="22:178" s="2" customFormat="1">
      <c r="V420" s="15"/>
      <c r="DK420" s="15"/>
      <c r="DL420" s="15"/>
      <c r="DM420" s="15"/>
      <c r="DN420" s="15"/>
      <c r="DO420" s="15"/>
      <c r="DP420" s="15"/>
      <c r="DQ420" s="15"/>
      <c r="DR420" s="15"/>
      <c r="DS420" s="15"/>
      <c r="DT420" s="15"/>
      <c r="DU420" s="15"/>
      <c r="DV420" s="15"/>
      <c r="DW420" s="15"/>
      <c r="DX420" s="15"/>
      <c r="DY420" s="15"/>
      <c r="DZ420" s="15"/>
      <c r="EA420" s="15"/>
      <c r="EB420" s="15"/>
      <c r="EC420" s="15"/>
      <c r="ED420" s="15"/>
      <c r="EE420" s="15"/>
      <c r="EF420" s="15"/>
      <c r="EG420" s="15"/>
      <c r="EH420" s="15"/>
      <c r="EI420" s="15"/>
      <c r="EJ420" s="15"/>
      <c r="EK420" s="15"/>
      <c r="EL420" s="15"/>
      <c r="EM420" s="15"/>
      <c r="EN420" s="15"/>
      <c r="EO420" s="15"/>
      <c r="EP420" s="15"/>
      <c r="EQ420" s="15"/>
      <c r="ER420" s="15"/>
      <c r="ES420" s="15"/>
      <c r="ET420" s="15"/>
      <c r="EU420" s="15"/>
      <c r="EV420" s="15"/>
      <c r="EW420" s="15"/>
      <c r="EX420" s="15"/>
      <c r="EY420" s="15"/>
      <c r="EZ420" s="15"/>
      <c r="FA420" s="15"/>
      <c r="FB420" s="15"/>
      <c r="FC420" s="15"/>
      <c r="FD420" s="15"/>
      <c r="FE420" s="15"/>
      <c r="FF420" s="15"/>
      <c r="FG420" s="15"/>
      <c r="FH420" s="15"/>
      <c r="FI420" s="15"/>
      <c r="FJ420" s="15"/>
      <c r="FK420" s="15"/>
      <c r="FL420" s="15"/>
      <c r="FM420" s="15"/>
      <c r="FN420" s="15"/>
      <c r="FO420" s="15"/>
      <c r="FP420" s="15"/>
      <c r="FQ420" s="15"/>
      <c r="FR420" s="15"/>
      <c r="FS420" s="15"/>
      <c r="FT420" s="15"/>
      <c r="FU420" s="15"/>
      <c r="FV420" s="15"/>
    </row>
    <row r="421" spans="22:178" s="2" customFormat="1">
      <c r="V421" s="15"/>
      <c r="DK421" s="15"/>
      <c r="DL421" s="15"/>
      <c r="DM421" s="15"/>
      <c r="DN421" s="15"/>
      <c r="DO421" s="15"/>
      <c r="DP421" s="15"/>
      <c r="DQ421" s="15"/>
      <c r="DR421" s="15"/>
      <c r="DS421" s="15"/>
      <c r="DT421" s="15"/>
      <c r="DU421" s="15"/>
      <c r="DV421" s="15"/>
      <c r="DW421" s="15"/>
      <c r="DX421" s="15"/>
      <c r="DY421" s="15"/>
      <c r="DZ421" s="15"/>
      <c r="EA421" s="15"/>
      <c r="EB421" s="15"/>
      <c r="EC421" s="15"/>
      <c r="ED421" s="15"/>
      <c r="EE421" s="15"/>
      <c r="EF421" s="15"/>
      <c r="EG421" s="15"/>
      <c r="EH421" s="15"/>
      <c r="EI421" s="15"/>
      <c r="EJ421" s="15"/>
      <c r="EK421" s="15"/>
      <c r="EL421" s="15"/>
      <c r="EM421" s="15"/>
      <c r="EN421" s="15"/>
      <c r="EO421" s="15"/>
      <c r="EP421" s="15"/>
      <c r="EQ421" s="15"/>
      <c r="ER421" s="15"/>
      <c r="ES421" s="15"/>
      <c r="ET421" s="15"/>
      <c r="EU421" s="15"/>
      <c r="EV421" s="15"/>
      <c r="EW421" s="15"/>
      <c r="EX421" s="15"/>
      <c r="EY421" s="15"/>
      <c r="EZ421" s="15"/>
      <c r="FA421" s="15"/>
      <c r="FB421" s="15"/>
      <c r="FC421" s="15"/>
      <c r="FD421" s="15"/>
      <c r="FE421" s="15"/>
      <c r="FF421" s="15"/>
      <c r="FG421" s="15"/>
      <c r="FH421" s="15"/>
      <c r="FI421" s="15"/>
      <c r="FJ421" s="15"/>
      <c r="FK421" s="15"/>
      <c r="FL421" s="15"/>
      <c r="FM421" s="15"/>
      <c r="FN421" s="15"/>
      <c r="FO421" s="15"/>
      <c r="FP421" s="15"/>
      <c r="FQ421" s="15"/>
      <c r="FR421" s="15"/>
      <c r="FS421" s="15"/>
      <c r="FT421" s="15"/>
      <c r="FU421" s="15"/>
      <c r="FV421" s="15"/>
    </row>
    <row r="422" spans="22:178" s="2" customFormat="1">
      <c r="V422" s="15"/>
      <c r="DK422" s="15"/>
      <c r="DL422" s="15"/>
      <c r="DM422" s="15"/>
      <c r="DN422" s="15"/>
      <c r="DO422" s="15"/>
      <c r="DP422" s="15"/>
      <c r="DQ422" s="15"/>
      <c r="DR422" s="15"/>
      <c r="DS422" s="15"/>
      <c r="DT422" s="15"/>
      <c r="DU422" s="15"/>
      <c r="DV422" s="15"/>
      <c r="DW422" s="15"/>
      <c r="DX422" s="15"/>
      <c r="DY422" s="15"/>
      <c r="DZ422" s="15"/>
      <c r="EA422" s="15"/>
      <c r="EB422" s="15"/>
      <c r="EC422" s="15"/>
      <c r="ED422" s="15"/>
      <c r="EE422" s="15"/>
      <c r="EF422" s="15"/>
      <c r="EG422" s="15"/>
      <c r="EH422" s="15"/>
      <c r="EI422" s="15"/>
      <c r="EJ422" s="15"/>
      <c r="EK422" s="15"/>
      <c r="EL422" s="15"/>
      <c r="EM422" s="15"/>
      <c r="EN422" s="15"/>
      <c r="EO422" s="15"/>
      <c r="EP422" s="15"/>
      <c r="EQ422" s="15"/>
      <c r="ER422" s="15"/>
      <c r="ES422" s="15"/>
      <c r="ET422" s="15"/>
      <c r="EU422" s="15"/>
      <c r="EV422" s="15"/>
      <c r="EW422" s="15"/>
      <c r="EX422" s="15"/>
      <c r="EY422" s="15"/>
      <c r="EZ422" s="15"/>
      <c r="FA422" s="15"/>
      <c r="FB422" s="15"/>
      <c r="FC422" s="15"/>
      <c r="FD422" s="15"/>
      <c r="FE422" s="15"/>
      <c r="FF422" s="15"/>
      <c r="FG422" s="15"/>
      <c r="FH422" s="15"/>
      <c r="FI422" s="15"/>
      <c r="FJ422" s="15"/>
      <c r="FK422" s="15"/>
      <c r="FL422" s="15"/>
      <c r="FM422" s="15"/>
      <c r="FN422" s="15"/>
      <c r="FO422" s="15"/>
      <c r="FP422" s="15"/>
      <c r="FQ422" s="15"/>
      <c r="FR422" s="15"/>
      <c r="FS422" s="15"/>
      <c r="FT422" s="15"/>
      <c r="FU422" s="15"/>
      <c r="FV422" s="15"/>
    </row>
    <row r="423" spans="22:178" s="2" customFormat="1">
      <c r="V423" s="15"/>
      <c r="DK423" s="15"/>
      <c r="DL423" s="15"/>
      <c r="DM423" s="15"/>
      <c r="DN423" s="15"/>
      <c r="DO423" s="15"/>
      <c r="DP423" s="15"/>
      <c r="DQ423" s="15"/>
      <c r="DR423" s="15"/>
      <c r="DS423" s="15"/>
      <c r="DT423" s="15"/>
      <c r="DU423" s="15"/>
      <c r="DV423" s="15"/>
      <c r="DW423" s="15"/>
      <c r="DX423" s="15"/>
      <c r="DY423" s="15"/>
      <c r="DZ423" s="15"/>
      <c r="EA423" s="15"/>
      <c r="EB423" s="15"/>
      <c r="EC423" s="15"/>
      <c r="ED423" s="15"/>
      <c r="EE423" s="15"/>
      <c r="EF423" s="15"/>
      <c r="EG423" s="15"/>
      <c r="EH423" s="15"/>
      <c r="EI423" s="15"/>
      <c r="EJ423" s="15"/>
      <c r="EK423" s="15"/>
      <c r="EL423" s="15"/>
      <c r="EM423" s="15"/>
      <c r="EN423" s="15"/>
      <c r="EO423" s="15"/>
      <c r="EP423" s="15"/>
      <c r="EQ423" s="15"/>
      <c r="ER423" s="15"/>
      <c r="ES423" s="15"/>
      <c r="ET423" s="15"/>
      <c r="EU423" s="15"/>
      <c r="EV423" s="15"/>
      <c r="EW423" s="15"/>
      <c r="EX423" s="15"/>
      <c r="EY423" s="15"/>
      <c r="EZ423" s="15"/>
      <c r="FA423" s="15"/>
      <c r="FB423" s="15"/>
      <c r="FC423" s="15"/>
      <c r="FD423" s="15"/>
      <c r="FE423" s="15"/>
      <c r="FF423" s="15"/>
      <c r="FG423" s="15"/>
      <c r="FH423" s="15"/>
      <c r="FI423" s="15"/>
      <c r="FJ423" s="15"/>
      <c r="FK423" s="15"/>
      <c r="FL423" s="15"/>
      <c r="FM423" s="15"/>
      <c r="FN423" s="15"/>
      <c r="FO423" s="15"/>
      <c r="FP423" s="15"/>
      <c r="FQ423" s="15"/>
      <c r="FR423" s="15"/>
      <c r="FS423" s="15"/>
      <c r="FT423" s="15"/>
      <c r="FU423" s="15"/>
      <c r="FV423" s="15"/>
    </row>
    <row r="424" spans="22:178" s="2" customFormat="1">
      <c r="V424" s="15"/>
      <c r="DK424" s="15"/>
      <c r="DL424" s="15"/>
      <c r="DM424" s="15"/>
      <c r="DN424" s="15"/>
      <c r="DO424" s="15"/>
      <c r="DP424" s="15"/>
      <c r="DQ424" s="15"/>
      <c r="DR424" s="15"/>
      <c r="DS424" s="15"/>
      <c r="DT424" s="15"/>
      <c r="DU424" s="15"/>
      <c r="DV424" s="15"/>
      <c r="DW424" s="15"/>
      <c r="DX424" s="15"/>
      <c r="DY424" s="15"/>
      <c r="DZ424" s="15"/>
      <c r="EA424" s="15"/>
      <c r="EB424" s="15"/>
      <c r="EC424" s="15"/>
      <c r="ED424" s="15"/>
      <c r="EE424" s="15"/>
      <c r="EF424" s="15"/>
      <c r="EG424" s="15"/>
      <c r="EH424" s="15"/>
      <c r="EI424" s="15"/>
      <c r="EJ424" s="15"/>
      <c r="EK424" s="15"/>
      <c r="EL424" s="15"/>
      <c r="EM424" s="15"/>
      <c r="EN424" s="15"/>
      <c r="EO424" s="15"/>
      <c r="EP424" s="15"/>
      <c r="EQ424" s="15"/>
      <c r="ER424" s="15"/>
      <c r="ES424" s="15"/>
      <c r="ET424" s="15"/>
      <c r="EU424" s="15"/>
      <c r="EV424" s="15"/>
      <c r="EW424" s="15"/>
      <c r="EX424" s="15"/>
      <c r="EY424" s="15"/>
      <c r="EZ424" s="15"/>
      <c r="FA424" s="15"/>
      <c r="FB424" s="15"/>
      <c r="FC424" s="15"/>
      <c r="FD424" s="15"/>
      <c r="FE424" s="15"/>
      <c r="FF424" s="15"/>
      <c r="FG424" s="15"/>
      <c r="FH424" s="15"/>
      <c r="FI424" s="15"/>
      <c r="FJ424" s="15"/>
      <c r="FK424" s="15"/>
      <c r="FL424" s="15"/>
      <c r="FM424" s="15"/>
      <c r="FN424" s="15"/>
      <c r="FO424" s="15"/>
      <c r="FP424" s="15"/>
      <c r="FQ424" s="15"/>
      <c r="FR424" s="15"/>
      <c r="FS424" s="15"/>
      <c r="FT424" s="15"/>
      <c r="FU424" s="15"/>
      <c r="FV424" s="15"/>
    </row>
    <row r="425" spans="22:178" s="2" customFormat="1">
      <c r="V425" s="15"/>
      <c r="DK425" s="15"/>
      <c r="DL425" s="15"/>
      <c r="DM425" s="15"/>
      <c r="DN425" s="15"/>
      <c r="DO425" s="15"/>
      <c r="DP425" s="15"/>
      <c r="DQ425" s="15"/>
      <c r="DR425" s="15"/>
      <c r="DS425" s="15"/>
      <c r="DT425" s="15"/>
      <c r="DU425" s="15"/>
      <c r="DV425" s="15"/>
      <c r="DW425" s="15"/>
      <c r="DX425" s="15"/>
      <c r="DY425" s="15"/>
      <c r="DZ425" s="15"/>
      <c r="EA425" s="15"/>
      <c r="EB425" s="15"/>
      <c r="EC425" s="15"/>
      <c r="ED425" s="15"/>
      <c r="EE425" s="15"/>
      <c r="EF425" s="15"/>
      <c r="EG425" s="15"/>
      <c r="EH425" s="15"/>
      <c r="EI425" s="15"/>
      <c r="EJ425" s="15"/>
      <c r="EK425" s="15"/>
      <c r="EL425" s="15"/>
      <c r="EM425" s="15"/>
      <c r="EN425" s="15"/>
      <c r="EO425" s="15"/>
      <c r="EP425" s="15"/>
      <c r="EQ425" s="15"/>
      <c r="ER425" s="15"/>
      <c r="ES425" s="15"/>
      <c r="ET425" s="15"/>
      <c r="EU425" s="15"/>
      <c r="EV425" s="15"/>
      <c r="EW425" s="15"/>
      <c r="EX425" s="15"/>
      <c r="EY425" s="15"/>
      <c r="EZ425" s="15"/>
      <c r="FA425" s="15"/>
      <c r="FB425" s="15"/>
      <c r="FC425" s="15"/>
      <c r="FD425" s="15"/>
      <c r="FE425" s="15"/>
      <c r="FF425" s="15"/>
      <c r="FG425" s="15"/>
      <c r="FH425" s="15"/>
      <c r="FI425" s="15"/>
      <c r="FJ425" s="15"/>
      <c r="FK425" s="15"/>
      <c r="FL425" s="15"/>
      <c r="FM425" s="15"/>
      <c r="FN425" s="15"/>
      <c r="FO425" s="15"/>
      <c r="FP425" s="15"/>
      <c r="FQ425" s="15"/>
      <c r="FR425" s="15"/>
      <c r="FS425" s="15"/>
      <c r="FT425" s="15"/>
      <c r="FU425" s="15"/>
      <c r="FV425" s="15"/>
    </row>
    <row r="426" spans="22:178" s="2" customFormat="1">
      <c r="V426" s="15"/>
      <c r="DK426" s="15"/>
      <c r="DL426" s="15"/>
      <c r="DM426" s="15"/>
      <c r="DN426" s="15"/>
      <c r="DO426" s="15"/>
      <c r="DP426" s="15"/>
      <c r="DQ426" s="15"/>
      <c r="DR426" s="15"/>
      <c r="DS426" s="15"/>
      <c r="DT426" s="15"/>
      <c r="DU426" s="15"/>
      <c r="DV426" s="15"/>
      <c r="DW426" s="15"/>
      <c r="DX426" s="15"/>
      <c r="DY426" s="15"/>
      <c r="DZ426" s="15"/>
      <c r="EA426" s="15"/>
      <c r="EB426" s="15"/>
      <c r="EC426" s="15"/>
      <c r="ED426" s="15"/>
      <c r="EE426" s="15"/>
      <c r="EF426" s="15"/>
      <c r="EG426" s="15"/>
      <c r="EH426" s="15"/>
      <c r="EI426" s="15"/>
      <c r="EJ426" s="15"/>
      <c r="EK426" s="15"/>
      <c r="EL426" s="15"/>
      <c r="EM426" s="15"/>
      <c r="EN426" s="15"/>
      <c r="EO426" s="15"/>
      <c r="EP426" s="15"/>
      <c r="EQ426" s="15"/>
      <c r="ER426" s="15"/>
      <c r="ES426" s="15"/>
      <c r="ET426" s="15"/>
      <c r="EU426" s="15"/>
      <c r="EV426" s="15"/>
      <c r="EW426" s="15"/>
      <c r="EX426" s="15"/>
      <c r="EY426" s="15"/>
      <c r="EZ426" s="15"/>
      <c r="FA426" s="15"/>
      <c r="FB426" s="15"/>
      <c r="FC426" s="15"/>
      <c r="FD426" s="15"/>
      <c r="FE426" s="15"/>
      <c r="FF426" s="15"/>
      <c r="FG426" s="15"/>
      <c r="FH426" s="15"/>
      <c r="FI426" s="15"/>
      <c r="FJ426" s="15"/>
      <c r="FK426" s="15"/>
      <c r="FL426" s="15"/>
      <c r="FM426" s="15"/>
      <c r="FN426" s="15"/>
      <c r="FO426" s="15"/>
      <c r="FP426" s="15"/>
      <c r="FQ426" s="15"/>
      <c r="FR426" s="15"/>
      <c r="FS426" s="15"/>
      <c r="FT426" s="15"/>
      <c r="FU426" s="15"/>
      <c r="FV426" s="15"/>
    </row>
    <row r="427" spans="22:178" s="2" customFormat="1">
      <c r="V427" s="15"/>
      <c r="DK427" s="15"/>
      <c r="DL427" s="15"/>
      <c r="DM427" s="15"/>
      <c r="DN427" s="15"/>
      <c r="DO427" s="15"/>
      <c r="DP427" s="15"/>
      <c r="DQ427" s="15"/>
      <c r="DR427" s="15"/>
      <c r="DS427" s="15"/>
      <c r="DT427" s="15"/>
      <c r="DU427" s="15"/>
      <c r="DV427" s="15"/>
      <c r="DW427" s="15"/>
      <c r="DX427" s="15"/>
      <c r="DY427" s="15"/>
      <c r="DZ427" s="15"/>
      <c r="EA427" s="15"/>
      <c r="EB427" s="15"/>
      <c r="EC427" s="15"/>
      <c r="ED427" s="15"/>
      <c r="EE427" s="15"/>
      <c r="EF427" s="15"/>
      <c r="EG427" s="15"/>
      <c r="EH427" s="15"/>
      <c r="EI427" s="15"/>
      <c r="EJ427" s="15"/>
      <c r="EK427" s="15"/>
      <c r="EL427" s="15"/>
      <c r="EM427" s="15"/>
      <c r="EN427" s="15"/>
      <c r="EO427" s="15"/>
      <c r="EP427" s="15"/>
      <c r="EQ427" s="15"/>
      <c r="ER427" s="15"/>
      <c r="ES427" s="15"/>
      <c r="ET427" s="15"/>
      <c r="EU427" s="15"/>
      <c r="EV427" s="15"/>
      <c r="EW427" s="15"/>
      <c r="EX427" s="15"/>
      <c r="EY427" s="15"/>
      <c r="EZ427" s="15"/>
      <c r="FA427" s="15"/>
      <c r="FB427" s="15"/>
      <c r="FC427" s="15"/>
      <c r="FD427" s="15"/>
      <c r="FE427" s="15"/>
      <c r="FF427" s="15"/>
      <c r="FG427" s="15"/>
      <c r="FH427" s="15"/>
      <c r="FI427" s="15"/>
      <c r="FJ427" s="15"/>
      <c r="FK427" s="15"/>
      <c r="FL427" s="15"/>
      <c r="FM427" s="15"/>
      <c r="FN427" s="15"/>
      <c r="FO427" s="15"/>
      <c r="FP427" s="15"/>
      <c r="FQ427" s="15"/>
      <c r="FR427" s="15"/>
      <c r="FS427" s="15"/>
      <c r="FT427" s="15"/>
      <c r="FU427" s="15"/>
      <c r="FV427" s="15"/>
    </row>
    <row r="428" spans="22:178" s="2" customFormat="1">
      <c r="V428" s="15"/>
      <c r="DK428" s="15"/>
      <c r="DL428" s="15"/>
      <c r="DM428" s="15"/>
      <c r="DN428" s="15"/>
      <c r="DO428" s="15"/>
      <c r="DP428" s="15"/>
      <c r="DQ428" s="15"/>
      <c r="DR428" s="15"/>
      <c r="DS428" s="15"/>
      <c r="DT428" s="15"/>
      <c r="DU428" s="15"/>
      <c r="DV428" s="15"/>
      <c r="DW428" s="15"/>
      <c r="DX428" s="15"/>
      <c r="DY428" s="15"/>
      <c r="DZ428" s="15"/>
      <c r="EA428" s="15"/>
      <c r="EB428" s="15"/>
      <c r="EC428" s="15"/>
      <c r="ED428" s="15"/>
      <c r="EE428" s="15"/>
      <c r="EF428" s="15"/>
      <c r="EG428" s="15"/>
      <c r="EH428" s="15"/>
      <c r="EI428" s="15"/>
      <c r="EJ428" s="15"/>
      <c r="EK428" s="15"/>
      <c r="EL428" s="15"/>
      <c r="EM428" s="15"/>
      <c r="EN428" s="15"/>
      <c r="EO428" s="15"/>
      <c r="EP428" s="15"/>
      <c r="EQ428" s="15"/>
      <c r="ER428" s="15"/>
      <c r="ES428" s="15"/>
      <c r="ET428" s="15"/>
      <c r="EU428" s="15"/>
      <c r="EV428" s="15"/>
      <c r="EW428" s="15"/>
      <c r="EX428" s="15"/>
      <c r="EY428" s="15"/>
      <c r="EZ428" s="15"/>
      <c r="FA428" s="15"/>
      <c r="FB428" s="15"/>
      <c r="FC428" s="15"/>
      <c r="FD428" s="15"/>
      <c r="FE428" s="15"/>
      <c r="FF428" s="15"/>
      <c r="FG428" s="15"/>
      <c r="FH428" s="15"/>
      <c r="FI428" s="15"/>
      <c r="FJ428" s="15"/>
      <c r="FK428" s="15"/>
      <c r="FL428" s="15"/>
      <c r="FM428" s="15"/>
      <c r="FN428" s="15"/>
      <c r="FO428" s="15"/>
      <c r="FP428" s="15"/>
      <c r="FQ428" s="15"/>
      <c r="FR428" s="15"/>
      <c r="FS428" s="15"/>
      <c r="FT428" s="15"/>
      <c r="FU428" s="15"/>
      <c r="FV428" s="15"/>
    </row>
    <row r="429" spans="22:178" s="2" customFormat="1">
      <c r="V429" s="15"/>
      <c r="DK429" s="15"/>
      <c r="DL429" s="15"/>
      <c r="DM429" s="15"/>
      <c r="DN429" s="15"/>
      <c r="DO429" s="15"/>
      <c r="DP429" s="15"/>
      <c r="DQ429" s="15"/>
      <c r="DR429" s="15"/>
      <c r="DS429" s="15"/>
      <c r="DT429" s="15"/>
      <c r="DU429" s="15"/>
      <c r="DV429" s="15"/>
      <c r="DW429" s="15"/>
      <c r="DX429" s="15"/>
      <c r="DY429" s="15"/>
      <c r="DZ429" s="15"/>
      <c r="EA429" s="15"/>
      <c r="EB429" s="15"/>
      <c r="EC429" s="15"/>
      <c r="ED429" s="15"/>
      <c r="EE429" s="15"/>
      <c r="EF429" s="15"/>
      <c r="EG429" s="15"/>
      <c r="EH429" s="15"/>
      <c r="EI429" s="15"/>
      <c r="EJ429" s="15"/>
      <c r="EK429" s="15"/>
      <c r="EL429" s="15"/>
      <c r="EM429" s="15"/>
      <c r="EN429" s="15"/>
      <c r="EO429" s="15"/>
      <c r="EP429" s="15"/>
      <c r="EQ429" s="15"/>
      <c r="ER429" s="15"/>
      <c r="ES429" s="15"/>
      <c r="ET429" s="15"/>
      <c r="EU429" s="15"/>
      <c r="EV429" s="15"/>
      <c r="EW429" s="15"/>
      <c r="EX429" s="15"/>
      <c r="EY429" s="15"/>
      <c r="EZ429" s="15"/>
      <c r="FA429" s="15"/>
      <c r="FB429" s="15"/>
      <c r="FC429" s="15"/>
      <c r="FD429" s="15"/>
      <c r="FE429" s="15"/>
      <c r="FF429" s="15"/>
      <c r="FG429" s="15"/>
      <c r="FH429" s="15"/>
      <c r="FI429" s="15"/>
      <c r="FJ429" s="15"/>
      <c r="FK429" s="15"/>
      <c r="FL429" s="15"/>
      <c r="FM429" s="15"/>
      <c r="FN429" s="15"/>
      <c r="FO429" s="15"/>
      <c r="FP429" s="15"/>
      <c r="FQ429" s="15"/>
      <c r="FR429" s="15"/>
      <c r="FS429" s="15"/>
      <c r="FT429" s="15"/>
      <c r="FU429" s="15"/>
      <c r="FV429" s="15"/>
    </row>
    <row r="430" spans="22:178" s="2" customFormat="1">
      <c r="V430" s="15"/>
      <c r="DK430" s="15"/>
      <c r="DL430" s="15"/>
      <c r="DM430" s="15"/>
      <c r="DN430" s="15"/>
      <c r="DO430" s="15"/>
      <c r="DP430" s="15"/>
      <c r="DQ430" s="15"/>
      <c r="DR430" s="15"/>
      <c r="DS430" s="15"/>
      <c r="DT430" s="15"/>
      <c r="DU430" s="15"/>
      <c r="DV430" s="15"/>
      <c r="DW430" s="15"/>
      <c r="DX430" s="15"/>
      <c r="DY430" s="15"/>
      <c r="DZ430" s="15"/>
      <c r="EA430" s="15"/>
      <c r="EB430" s="15"/>
      <c r="EC430" s="15"/>
      <c r="ED430" s="15"/>
      <c r="EE430" s="15"/>
      <c r="EF430" s="15"/>
      <c r="EG430" s="15"/>
      <c r="EH430" s="15"/>
      <c r="EI430" s="15"/>
      <c r="EJ430" s="15"/>
      <c r="EK430" s="15"/>
      <c r="EL430" s="15"/>
      <c r="EM430" s="15"/>
      <c r="EN430" s="15"/>
      <c r="EO430" s="15"/>
      <c r="EP430" s="15"/>
      <c r="EQ430" s="15"/>
      <c r="ER430" s="15"/>
      <c r="ES430" s="15"/>
      <c r="ET430" s="15"/>
      <c r="EU430" s="15"/>
      <c r="EV430" s="15"/>
      <c r="EW430" s="15"/>
      <c r="EX430" s="15"/>
      <c r="EY430" s="15"/>
      <c r="EZ430" s="15"/>
      <c r="FA430" s="15"/>
      <c r="FB430" s="15"/>
      <c r="FC430" s="15"/>
      <c r="FD430" s="15"/>
      <c r="FE430" s="15"/>
      <c r="FF430" s="15"/>
      <c r="FG430" s="15"/>
      <c r="FH430" s="15"/>
      <c r="FI430" s="15"/>
      <c r="FJ430" s="15"/>
      <c r="FK430" s="15"/>
      <c r="FL430" s="15"/>
      <c r="FM430" s="15"/>
      <c r="FN430" s="15"/>
      <c r="FO430" s="15"/>
      <c r="FP430" s="15"/>
      <c r="FQ430" s="15"/>
      <c r="FR430" s="15"/>
      <c r="FS430" s="15"/>
      <c r="FT430" s="15"/>
      <c r="FU430" s="15"/>
      <c r="FV430" s="15"/>
    </row>
    <row r="431" spans="22:178" s="2" customFormat="1">
      <c r="V431" s="15"/>
      <c r="DK431" s="15"/>
      <c r="DL431" s="15"/>
      <c r="DM431" s="15"/>
      <c r="DN431" s="15"/>
      <c r="DO431" s="15"/>
      <c r="DP431" s="15"/>
      <c r="DQ431" s="15"/>
      <c r="DR431" s="15"/>
      <c r="DS431" s="15"/>
      <c r="DT431" s="15"/>
      <c r="DU431" s="15"/>
      <c r="DV431" s="15"/>
      <c r="DW431" s="15"/>
      <c r="DX431" s="15"/>
      <c r="DY431" s="15"/>
      <c r="DZ431" s="15"/>
      <c r="EA431" s="15"/>
      <c r="EB431" s="15"/>
      <c r="EC431" s="15"/>
      <c r="ED431" s="15"/>
      <c r="EE431" s="15"/>
      <c r="EF431" s="15"/>
      <c r="EG431" s="15"/>
      <c r="EH431" s="15"/>
      <c r="EI431" s="15"/>
      <c r="EJ431" s="15"/>
      <c r="EK431" s="15"/>
      <c r="EL431" s="15"/>
      <c r="EM431" s="15"/>
      <c r="EN431" s="15"/>
      <c r="EO431" s="15"/>
      <c r="EP431" s="15"/>
      <c r="EQ431" s="15"/>
      <c r="ER431" s="15"/>
      <c r="ES431" s="15"/>
      <c r="ET431" s="15"/>
      <c r="EU431" s="15"/>
      <c r="EV431" s="15"/>
      <c r="EW431" s="15"/>
      <c r="EX431" s="15"/>
      <c r="EY431" s="15"/>
      <c r="EZ431" s="15"/>
      <c r="FA431" s="15"/>
      <c r="FB431" s="15"/>
      <c r="FC431" s="15"/>
      <c r="FD431" s="15"/>
      <c r="FE431" s="15"/>
      <c r="FF431" s="15"/>
      <c r="FG431" s="15"/>
      <c r="FH431" s="15"/>
      <c r="FI431" s="15"/>
      <c r="FJ431" s="15"/>
      <c r="FK431" s="15"/>
      <c r="FL431" s="15"/>
      <c r="FM431" s="15"/>
      <c r="FN431" s="15"/>
      <c r="FO431" s="15"/>
      <c r="FP431" s="15"/>
      <c r="FQ431" s="15"/>
      <c r="FR431" s="15"/>
      <c r="FS431" s="15"/>
      <c r="FT431" s="15"/>
      <c r="FU431" s="15"/>
      <c r="FV431" s="15"/>
    </row>
    <row r="432" spans="22:178" s="2" customFormat="1">
      <c r="V432" s="15"/>
      <c r="DK432" s="15"/>
      <c r="DL432" s="15"/>
      <c r="DM432" s="15"/>
      <c r="DN432" s="15"/>
      <c r="DO432" s="15"/>
      <c r="DP432" s="15"/>
      <c r="DQ432" s="15"/>
      <c r="DR432" s="15"/>
      <c r="DS432" s="15"/>
      <c r="DT432" s="15"/>
      <c r="DU432" s="15"/>
      <c r="DV432" s="15"/>
      <c r="DW432" s="15"/>
      <c r="DX432" s="15"/>
      <c r="DY432" s="15"/>
      <c r="DZ432" s="15"/>
      <c r="EA432" s="15"/>
      <c r="EB432" s="15"/>
      <c r="EC432" s="15"/>
      <c r="ED432" s="15"/>
      <c r="EE432" s="15"/>
      <c r="EF432" s="15"/>
      <c r="EG432" s="15"/>
      <c r="EH432" s="15"/>
      <c r="EI432" s="15"/>
      <c r="EJ432" s="15"/>
      <c r="EK432" s="15"/>
      <c r="EL432" s="15"/>
      <c r="EM432" s="15"/>
      <c r="EN432" s="15"/>
      <c r="EO432" s="15"/>
      <c r="EP432" s="15"/>
      <c r="EQ432" s="15"/>
      <c r="ER432" s="15"/>
      <c r="ES432" s="15"/>
      <c r="ET432" s="15"/>
      <c r="EU432" s="15"/>
      <c r="EV432" s="15"/>
      <c r="EW432" s="15"/>
      <c r="EX432" s="15"/>
      <c r="EY432" s="15"/>
      <c r="EZ432" s="15"/>
      <c r="FA432" s="15"/>
      <c r="FB432" s="15"/>
      <c r="FC432" s="15"/>
      <c r="FD432" s="15"/>
      <c r="FE432" s="15"/>
      <c r="FF432" s="15"/>
      <c r="FG432" s="15"/>
      <c r="FH432" s="15"/>
      <c r="FI432" s="15"/>
      <c r="FJ432" s="15"/>
      <c r="FK432" s="15"/>
      <c r="FL432" s="15"/>
      <c r="FM432" s="15"/>
      <c r="FN432" s="15"/>
      <c r="FO432" s="15"/>
      <c r="FP432" s="15"/>
      <c r="FQ432" s="15"/>
      <c r="FR432" s="15"/>
      <c r="FS432" s="15"/>
      <c r="FT432" s="15"/>
      <c r="FU432" s="15"/>
      <c r="FV432" s="15"/>
    </row>
    <row r="433" spans="22:178" s="2" customFormat="1">
      <c r="V433" s="15"/>
      <c r="DK433" s="15"/>
      <c r="DL433" s="15"/>
      <c r="DM433" s="15"/>
      <c r="DN433" s="15"/>
      <c r="DO433" s="15"/>
      <c r="DP433" s="15"/>
      <c r="DQ433" s="15"/>
      <c r="DR433" s="15"/>
      <c r="DS433" s="15"/>
      <c r="DT433" s="15"/>
      <c r="DU433" s="15"/>
      <c r="DV433" s="15"/>
      <c r="DW433" s="15"/>
      <c r="DX433" s="15"/>
      <c r="DY433" s="15"/>
      <c r="DZ433" s="15"/>
      <c r="EA433" s="15"/>
      <c r="EB433" s="15"/>
      <c r="EC433" s="15"/>
      <c r="ED433" s="15"/>
      <c r="EE433" s="15"/>
      <c r="EF433" s="15"/>
      <c r="EG433" s="15"/>
      <c r="EH433" s="15"/>
      <c r="EI433" s="15"/>
      <c r="EJ433" s="15"/>
      <c r="EK433" s="15"/>
      <c r="EL433" s="15"/>
      <c r="EM433" s="15"/>
      <c r="EN433" s="15"/>
      <c r="EO433" s="15"/>
      <c r="EP433" s="15"/>
      <c r="EQ433" s="15"/>
      <c r="ER433" s="15"/>
      <c r="ES433" s="15"/>
      <c r="ET433" s="15"/>
      <c r="EU433" s="15"/>
      <c r="EV433" s="15"/>
      <c r="EW433" s="15"/>
      <c r="EX433" s="15"/>
      <c r="EY433" s="15"/>
      <c r="EZ433" s="15"/>
      <c r="FA433" s="15"/>
      <c r="FB433" s="15"/>
      <c r="FC433" s="15"/>
      <c r="FD433" s="15"/>
      <c r="FE433" s="15"/>
      <c r="FF433" s="15"/>
      <c r="FG433" s="15"/>
      <c r="FH433" s="15"/>
      <c r="FI433" s="15"/>
      <c r="FJ433" s="15"/>
      <c r="FK433" s="15"/>
      <c r="FL433" s="15"/>
      <c r="FM433" s="15"/>
      <c r="FN433" s="15"/>
      <c r="FO433" s="15"/>
      <c r="FP433" s="15"/>
      <c r="FQ433" s="15"/>
      <c r="FR433" s="15"/>
      <c r="FS433" s="15"/>
      <c r="FT433" s="15"/>
      <c r="FU433" s="15"/>
      <c r="FV433" s="15"/>
    </row>
    <row r="434" spans="22:178" s="2" customFormat="1">
      <c r="V434" s="15"/>
      <c r="DK434" s="15"/>
      <c r="DL434" s="15"/>
      <c r="DM434" s="15"/>
      <c r="DN434" s="15"/>
      <c r="DO434" s="15"/>
      <c r="DP434" s="15"/>
      <c r="DQ434" s="15"/>
      <c r="DR434" s="15"/>
      <c r="DS434" s="15"/>
      <c r="DT434" s="15"/>
      <c r="DU434" s="15"/>
      <c r="DV434" s="15"/>
      <c r="DW434" s="15"/>
      <c r="DX434" s="15"/>
      <c r="DY434" s="15"/>
      <c r="DZ434" s="15"/>
      <c r="EA434" s="15"/>
      <c r="EB434" s="15"/>
      <c r="EC434" s="15"/>
      <c r="ED434" s="15"/>
      <c r="EE434" s="15"/>
      <c r="EF434" s="15"/>
      <c r="EG434" s="15"/>
      <c r="EH434" s="15"/>
      <c r="EI434" s="15"/>
      <c r="EJ434" s="15"/>
      <c r="EK434" s="15"/>
      <c r="EL434" s="15"/>
      <c r="EM434" s="15"/>
      <c r="EN434" s="15"/>
      <c r="EO434" s="15"/>
      <c r="EP434" s="15"/>
      <c r="EQ434" s="15"/>
      <c r="ER434" s="15"/>
      <c r="ES434" s="15"/>
      <c r="ET434" s="15"/>
      <c r="EU434" s="15"/>
      <c r="EV434" s="15"/>
      <c r="EW434" s="15"/>
      <c r="EX434" s="15"/>
      <c r="EY434" s="15"/>
      <c r="EZ434" s="15"/>
      <c r="FA434" s="15"/>
      <c r="FB434" s="15"/>
      <c r="FC434" s="15"/>
      <c r="FD434" s="15"/>
      <c r="FE434" s="15"/>
      <c r="FF434" s="15"/>
      <c r="FG434" s="15"/>
      <c r="FH434" s="15"/>
      <c r="FI434" s="15"/>
      <c r="FJ434" s="15"/>
      <c r="FK434" s="15"/>
      <c r="FL434" s="15"/>
      <c r="FM434" s="15"/>
      <c r="FN434" s="15"/>
      <c r="FO434" s="15"/>
      <c r="FP434" s="15"/>
      <c r="FQ434" s="15"/>
      <c r="FR434" s="15"/>
      <c r="FS434" s="15"/>
      <c r="FT434" s="15"/>
      <c r="FU434" s="15"/>
      <c r="FV434" s="15"/>
    </row>
    <row r="435" spans="22:178" s="2" customFormat="1">
      <c r="V435" s="15"/>
      <c r="DK435" s="15"/>
      <c r="DL435" s="15"/>
      <c r="DM435" s="15"/>
      <c r="DN435" s="15"/>
      <c r="DO435" s="15"/>
      <c r="DP435" s="15"/>
      <c r="DQ435" s="15"/>
      <c r="DR435" s="15"/>
      <c r="DS435" s="15"/>
      <c r="DT435" s="15"/>
      <c r="DU435" s="15"/>
      <c r="DV435" s="15"/>
      <c r="DW435" s="15"/>
      <c r="DX435" s="15"/>
      <c r="DY435" s="15"/>
      <c r="DZ435" s="15"/>
      <c r="EA435" s="15"/>
      <c r="EB435" s="15"/>
      <c r="EC435" s="15"/>
      <c r="ED435" s="15"/>
      <c r="EE435" s="15"/>
      <c r="EF435" s="15"/>
      <c r="EG435" s="15"/>
      <c r="EH435" s="15"/>
      <c r="EI435" s="15"/>
      <c r="EJ435" s="15"/>
      <c r="EK435" s="15"/>
      <c r="EL435" s="15"/>
      <c r="EM435" s="15"/>
      <c r="EN435" s="15"/>
      <c r="EO435" s="15"/>
      <c r="EP435" s="15"/>
      <c r="EQ435" s="15"/>
      <c r="ER435" s="15"/>
      <c r="ES435" s="15"/>
      <c r="ET435" s="15"/>
      <c r="EU435" s="15"/>
      <c r="EV435" s="15"/>
      <c r="EW435" s="15"/>
      <c r="EX435" s="15"/>
      <c r="EY435" s="15"/>
      <c r="EZ435" s="15"/>
      <c r="FA435" s="15"/>
      <c r="FB435" s="15"/>
      <c r="FC435" s="15"/>
      <c r="FD435" s="15"/>
      <c r="FE435" s="15"/>
      <c r="FF435" s="15"/>
      <c r="FG435" s="15"/>
      <c r="FH435" s="15"/>
      <c r="FI435" s="15"/>
      <c r="FJ435" s="15"/>
      <c r="FK435" s="15"/>
      <c r="FL435" s="15"/>
      <c r="FM435" s="15"/>
      <c r="FN435" s="15"/>
      <c r="FO435" s="15"/>
      <c r="FP435" s="15"/>
      <c r="FQ435" s="15"/>
      <c r="FR435" s="15"/>
      <c r="FS435" s="15"/>
      <c r="FT435" s="15"/>
      <c r="FU435" s="15"/>
      <c r="FV435" s="15"/>
    </row>
    <row r="436" spans="22:178" s="2" customFormat="1">
      <c r="V436" s="15"/>
      <c r="DK436" s="15"/>
      <c r="DL436" s="15"/>
      <c r="DM436" s="15"/>
      <c r="DN436" s="15"/>
      <c r="DO436" s="15"/>
      <c r="DP436" s="15"/>
      <c r="DQ436" s="15"/>
      <c r="DR436" s="15"/>
      <c r="DS436" s="15"/>
      <c r="DT436" s="15"/>
      <c r="DU436" s="15"/>
      <c r="DV436" s="15"/>
      <c r="DW436" s="15"/>
      <c r="DX436" s="15"/>
      <c r="DY436" s="15"/>
      <c r="DZ436" s="15"/>
      <c r="EA436" s="15"/>
      <c r="EB436" s="15"/>
      <c r="EC436" s="15"/>
      <c r="ED436" s="15"/>
      <c r="EE436" s="15"/>
      <c r="EF436" s="15"/>
      <c r="EG436" s="15"/>
      <c r="EH436" s="15"/>
      <c r="EI436" s="15"/>
      <c r="EJ436" s="15"/>
      <c r="EK436" s="15"/>
      <c r="EL436" s="15"/>
      <c r="EM436" s="15"/>
      <c r="EN436" s="15"/>
      <c r="EO436" s="15"/>
      <c r="EP436" s="15"/>
      <c r="EQ436" s="15"/>
      <c r="ER436" s="15"/>
      <c r="ES436" s="15"/>
      <c r="ET436" s="15"/>
      <c r="EU436" s="15"/>
      <c r="EV436" s="15"/>
      <c r="EW436" s="15"/>
      <c r="EX436" s="15"/>
      <c r="EY436" s="15"/>
      <c r="EZ436" s="15"/>
      <c r="FA436" s="15"/>
      <c r="FB436" s="15"/>
      <c r="FC436" s="15"/>
      <c r="FD436" s="15"/>
      <c r="FE436" s="15"/>
      <c r="FF436" s="15"/>
      <c r="FG436" s="15"/>
      <c r="FH436" s="15"/>
      <c r="FI436" s="15"/>
      <c r="FJ436" s="15"/>
      <c r="FK436" s="15"/>
      <c r="FL436" s="15"/>
      <c r="FM436" s="15"/>
      <c r="FN436" s="15"/>
      <c r="FO436" s="15"/>
      <c r="FP436" s="15"/>
      <c r="FQ436" s="15"/>
      <c r="FR436" s="15"/>
      <c r="FS436" s="15"/>
      <c r="FT436" s="15"/>
      <c r="FU436" s="15"/>
      <c r="FV436" s="15"/>
    </row>
    <row r="437" spans="22:178" s="2" customFormat="1">
      <c r="V437" s="15"/>
      <c r="DK437" s="15"/>
      <c r="DL437" s="15"/>
      <c r="DM437" s="15"/>
      <c r="DN437" s="15"/>
      <c r="DO437" s="15"/>
      <c r="DP437" s="15"/>
      <c r="DQ437" s="15"/>
      <c r="DR437" s="15"/>
      <c r="DS437" s="15"/>
      <c r="DT437" s="15"/>
      <c r="DU437" s="15"/>
      <c r="DV437" s="15"/>
      <c r="DW437" s="15"/>
      <c r="DX437" s="15"/>
      <c r="DY437" s="15"/>
      <c r="DZ437" s="15"/>
      <c r="EA437" s="15"/>
      <c r="EB437" s="15"/>
      <c r="EC437" s="15"/>
      <c r="ED437" s="15"/>
      <c r="EE437" s="15"/>
      <c r="EF437" s="15"/>
      <c r="EG437" s="15"/>
      <c r="EH437" s="15"/>
      <c r="EI437" s="15"/>
      <c r="EJ437" s="15"/>
      <c r="EK437" s="15"/>
      <c r="EL437" s="15"/>
      <c r="EM437" s="15"/>
      <c r="EN437" s="15"/>
      <c r="EO437" s="15"/>
      <c r="EP437" s="15"/>
      <c r="EQ437" s="15"/>
      <c r="ER437" s="15"/>
      <c r="ES437" s="15"/>
      <c r="ET437" s="15"/>
      <c r="EU437" s="15"/>
      <c r="EV437" s="15"/>
      <c r="EW437" s="15"/>
      <c r="EX437" s="15"/>
      <c r="EY437" s="15"/>
      <c r="EZ437" s="15"/>
      <c r="FA437" s="15"/>
      <c r="FB437" s="15"/>
      <c r="FC437" s="15"/>
      <c r="FD437" s="15"/>
      <c r="FE437" s="15"/>
      <c r="FF437" s="15"/>
      <c r="FG437" s="15"/>
      <c r="FH437" s="15"/>
      <c r="FI437" s="15"/>
      <c r="FJ437" s="15"/>
      <c r="FK437" s="15"/>
      <c r="FL437" s="15"/>
      <c r="FM437" s="15"/>
      <c r="FN437" s="15"/>
      <c r="FO437" s="15"/>
      <c r="FP437" s="15"/>
      <c r="FQ437" s="15"/>
      <c r="FR437" s="15"/>
      <c r="FS437" s="15"/>
      <c r="FT437" s="15"/>
      <c r="FU437" s="15"/>
      <c r="FV437" s="15"/>
    </row>
    <row r="438" spans="22:178" s="2" customFormat="1">
      <c r="V438" s="15"/>
      <c r="DK438" s="15"/>
      <c r="DL438" s="15"/>
      <c r="DM438" s="15"/>
      <c r="DN438" s="15"/>
      <c r="DO438" s="15"/>
      <c r="DP438" s="15"/>
      <c r="DQ438" s="15"/>
      <c r="DR438" s="15"/>
      <c r="DS438" s="15"/>
      <c r="DT438" s="15"/>
      <c r="DU438" s="15"/>
      <c r="DV438" s="15"/>
      <c r="DW438" s="15"/>
      <c r="DX438" s="15"/>
      <c r="DY438" s="15"/>
      <c r="DZ438" s="15"/>
      <c r="EA438" s="15"/>
      <c r="EB438" s="15"/>
      <c r="EC438" s="15"/>
      <c r="ED438" s="15"/>
      <c r="EE438" s="15"/>
      <c r="EF438" s="15"/>
      <c r="EG438" s="15"/>
      <c r="EH438" s="15"/>
      <c r="EI438" s="15"/>
      <c r="EJ438" s="15"/>
      <c r="EK438" s="15"/>
      <c r="EL438" s="15"/>
      <c r="EM438" s="15"/>
      <c r="EN438" s="15"/>
      <c r="EO438" s="15"/>
      <c r="EP438" s="15"/>
      <c r="EQ438" s="15"/>
      <c r="ER438" s="15"/>
      <c r="ES438" s="15"/>
      <c r="ET438" s="15"/>
      <c r="EU438" s="15"/>
      <c r="EV438" s="15"/>
      <c r="EW438" s="15"/>
      <c r="EX438" s="15"/>
      <c r="EY438" s="15"/>
      <c r="EZ438" s="15"/>
      <c r="FA438" s="15"/>
      <c r="FB438" s="15"/>
      <c r="FC438" s="15"/>
      <c r="FD438" s="15"/>
      <c r="FE438" s="15"/>
      <c r="FF438" s="15"/>
      <c r="FG438" s="15"/>
      <c r="FH438" s="15"/>
      <c r="FI438" s="15"/>
      <c r="FJ438" s="15"/>
      <c r="FK438" s="15"/>
      <c r="FL438" s="15"/>
      <c r="FM438" s="15"/>
      <c r="FN438" s="15"/>
      <c r="FO438" s="15"/>
      <c r="FP438" s="15"/>
      <c r="FQ438" s="15"/>
      <c r="FR438" s="15"/>
      <c r="FS438" s="15"/>
      <c r="FT438" s="15"/>
      <c r="FU438" s="15"/>
      <c r="FV438" s="15"/>
    </row>
    <row r="439" spans="22:178" s="2" customFormat="1">
      <c r="V439" s="15"/>
      <c r="DK439" s="15"/>
      <c r="DL439" s="15"/>
      <c r="DM439" s="15"/>
      <c r="DN439" s="15"/>
      <c r="DO439" s="15"/>
      <c r="DP439" s="15"/>
      <c r="DQ439" s="15"/>
      <c r="DR439" s="15"/>
      <c r="DS439" s="15"/>
      <c r="DT439" s="15"/>
      <c r="DU439" s="15"/>
      <c r="DV439" s="15"/>
      <c r="DW439" s="15"/>
      <c r="DX439" s="15"/>
      <c r="DY439" s="15"/>
      <c r="DZ439" s="15"/>
      <c r="EA439" s="15"/>
      <c r="EB439" s="15"/>
      <c r="EC439" s="15"/>
      <c r="ED439" s="15"/>
      <c r="EE439" s="15"/>
      <c r="EF439" s="15"/>
      <c r="EG439" s="15"/>
      <c r="EH439" s="15"/>
      <c r="EI439" s="15"/>
      <c r="EJ439" s="15"/>
      <c r="EK439" s="15"/>
      <c r="EL439" s="15"/>
      <c r="EM439" s="15"/>
      <c r="EN439" s="15"/>
      <c r="EO439" s="15"/>
      <c r="EP439" s="15"/>
      <c r="EQ439" s="15"/>
      <c r="ER439" s="15"/>
      <c r="ES439" s="15"/>
      <c r="ET439" s="15"/>
      <c r="EU439" s="15"/>
      <c r="EV439" s="15"/>
      <c r="EW439" s="15"/>
      <c r="EX439" s="15"/>
      <c r="EY439" s="15"/>
      <c r="EZ439" s="15"/>
      <c r="FA439" s="15"/>
      <c r="FB439" s="15"/>
      <c r="FC439" s="15"/>
      <c r="FD439" s="15"/>
      <c r="FE439" s="15"/>
      <c r="FF439" s="15"/>
      <c r="FG439" s="15"/>
      <c r="FH439" s="15"/>
      <c r="FI439" s="15"/>
      <c r="FJ439" s="15"/>
      <c r="FK439" s="15"/>
      <c r="FL439" s="15"/>
      <c r="FM439" s="15"/>
      <c r="FN439" s="15"/>
      <c r="FO439" s="15"/>
      <c r="FP439" s="15"/>
      <c r="FQ439" s="15"/>
      <c r="FR439" s="15"/>
      <c r="FS439" s="15"/>
      <c r="FT439" s="15"/>
      <c r="FU439" s="15"/>
      <c r="FV439" s="15"/>
    </row>
    <row r="440" spans="22:178" s="2" customFormat="1">
      <c r="V440" s="15"/>
      <c r="DK440" s="15"/>
      <c r="DL440" s="15"/>
      <c r="DM440" s="15"/>
      <c r="DN440" s="15"/>
      <c r="DO440" s="15"/>
      <c r="DP440" s="15"/>
      <c r="DQ440" s="15"/>
      <c r="DR440" s="15"/>
      <c r="DS440" s="15"/>
      <c r="DT440" s="15"/>
      <c r="DU440" s="15"/>
      <c r="DV440" s="15"/>
      <c r="DW440" s="15"/>
      <c r="DX440" s="15"/>
      <c r="DY440" s="15"/>
      <c r="DZ440" s="15"/>
      <c r="EA440" s="15"/>
      <c r="EB440" s="15"/>
      <c r="EC440" s="15"/>
      <c r="ED440" s="15"/>
      <c r="EE440" s="15"/>
      <c r="EF440" s="15"/>
      <c r="EG440" s="15"/>
      <c r="EH440" s="15"/>
      <c r="EI440" s="15"/>
      <c r="EJ440" s="15"/>
      <c r="EK440" s="15"/>
      <c r="EL440" s="15"/>
      <c r="EM440" s="15"/>
      <c r="EN440" s="15"/>
      <c r="EO440" s="15"/>
      <c r="EP440" s="15"/>
      <c r="EQ440" s="15"/>
      <c r="ER440" s="15"/>
      <c r="ES440" s="15"/>
      <c r="ET440" s="15"/>
      <c r="EU440" s="15"/>
      <c r="EV440" s="15"/>
      <c r="EW440" s="15"/>
      <c r="EX440" s="15"/>
      <c r="EY440" s="15"/>
      <c r="EZ440" s="15"/>
      <c r="FA440" s="15"/>
      <c r="FB440" s="15"/>
      <c r="FC440" s="15"/>
      <c r="FD440" s="15"/>
      <c r="FE440" s="15"/>
      <c r="FF440" s="15"/>
      <c r="FG440" s="15"/>
      <c r="FH440" s="15"/>
      <c r="FI440" s="15"/>
      <c r="FJ440" s="15"/>
      <c r="FK440" s="15"/>
      <c r="FL440" s="15"/>
      <c r="FM440" s="15"/>
      <c r="FN440" s="15"/>
      <c r="FO440" s="15"/>
      <c r="FP440" s="15"/>
      <c r="FQ440" s="15"/>
      <c r="FR440" s="15"/>
      <c r="FS440" s="15"/>
      <c r="FT440" s="15"/>
      <c r="FU440" s="15"/>
      <c r="FV440" s="15"/>
    </row>
    <row r="441" spans="22:178" s="2" customFormat="1">
      <c r="V441" s="15"/>
      <c r="DK441" s="15"/>
      <c r="DL441" s="15"/>
      <c r="DM441" s="15"/>
      <c r="DN441" s="15"/>
      <c r="DO441" s="15"/>
      <c r="DP441" s="15"/>
      <c r="DQ441" s="15"/>
      <c r="DR441" s="15"/>
      <c r="DS441" s="15"/>
      <c r="DT441" s="15"/>
      <c r="DU441" s="15"/>
      <c r="DV441" s="15"/>
      <c r="DW441" s="15"/>
      <c r="DX441" s="15"/>
      <c r="DY441" s="15"/>
      <c r="DZ441" s="15"/>
      <c r="EA441" s="15"/>
      <c r="EB441" s="15"/>
      <c r="EC441" s="15"/>
      <c r="ED441" s="15"/>
      <c r="EE441" s="15"/>
      <c r="EF441" s="15"/>
      <c r="EG441" s="15"/>
      <c r="EH441" s="15"/>
      <c r="EI441" s="15"/>
      <c r="EJ441" s="15"/>
      <c r="EK441" s="15"/>
      <c r="EL441" s="15"/>
      <c r="EM441" s="15"/>
      <c r="EN441" s="15"/>
      <c r="EO441" s="15"/>
      <c r="EP441" s="15"/>
      <c r="EQ441" s="15"/>
      <c r="ER441" s="15"/>
      <c r="ES441" s="15"/>
      <c r="ET441" s="15"/>
      <c r="EU441" s="15"/>
      <c r="EV441" s="15"/>
      <c r="EW441" s="15"/>
      <c r="EX441" s="15"/>
      <c r="EY441" s="15"/>
      <c r="EZ441" s="15"/>
      <c r="FA441" s="15"/>
      <c r="FB441" s="15"/>
      <c r="FC441" s="15"/>
      <c r="FD441" s="15"/>
      <c r="FE441" s="15"/>
      <c r="FF441" s="15"/>
      <c r="FG441" s="15"/>
      <c r="FH441" s="15"/>
      <c r="FI441" s="15"/>
      <c r="FJ441" s="15"/>
      <c r="FK441" s="15"/>
      <c r="FL441" s="15"/>
      <c r="FM441" s="15"/>
      <c r="FN441" s="15"/>
      <c r="FO441" s="15"/>
      <c r="FP441" s="15"/>
      <c r="FQ441" s="15"/>
      <c r="FR441" s="15"/>
      <c r="FS441" s="15"/>
      <c r="FT441" s="15"/>
      <c r="FU441" s="15"/>
      <c r="FV441" s="15"/>
    </row>
    <row r="442" spans="22:178" s="2" customFormat="1">
      <c r="V442" s="15"/>
      <c r="DK442" s="15"/>
      <c r="DL442" s="15"/>
      <c r="DM442" s="15"/>
      <c r="DN442" s="15"/>
      <c r="DO442" s="15"/>
      <c r="DP442" s="15"/>
      <c r="DQ442" s="15"/>
      <c r="DR442" s="15"/>
      <c r="DS442" s="15"/>
      <c r="DT442" s="15"/>
      <c r="DU442" s="15"/>
      <c r="DV442" s="15"/>
      <c r="DW442" s="15"/>
      <c r="DX442" s="15"/>
      <c r="DY442" s="15"/>
      <c r="DZ442" s="15"/>
      <c r="EA442" s="15"/>
      <c r="EB442" s="15"/>
      <c r="EC442" s="15"/>
      <c r="ED442" s="15"/>
      <c r="EE442" s="15"/>
      <c r="EF442" s="15"/>
      <c r="EG442" s="15"/>
      <c r="EH442" s="15"/>
      <c r="EI442" s="15"/>
      <c r="EJ442" s="15"/>
      <c r="EK442" s="15"/>
      <c r="EL442" s="15"/>
      <c r="EM442" s="15"/>
      <c r="EN442" s="15"/>
      <c r="EO442" s="15"/>
      <c r="EP442" s="15"/>
      <c r="EQ442" s="15"/>
      <c r="ER442" s="15"/>
      <c r="ES442" s="15"/>
      <c r="ET442" s="15"/>
      <c r="EU442" s="15"/>
      <c r="EV442" s="15"/>
      <c r="EW442" s="15"/>
      <c r="EX442" s="15"/>
      <c r="EY442" s="15"/>
      <c r="EZ442" s="15"/>
      <c r="FA442" s="15"/>
      <c r="FB442" s="15"/>
      <c r="FC442" s="15"/>
      <c r="FD442" s="15"/>
      <c r="FE442" s="15"/>
      <c r="FF442" s="15"/>
      <c r="FG442" s="15"/>
      <c r="FH442" s="15"/>
      <c r="FI442" s="15"/>
      <c r="FJ442" s="15"/>
      <c r="FK442" s="15"/>
      <c r="FL442" s="15"/>
      <c r="FM442" s="15"/>
      <c r="FN442" s="15"/>
      <c r="FO442" s="15"/>
      <c r="FP442" s="15"/>
      <c r="FQ442" s="15"/>
      <c r="FR442" s="15"/>
      <c r="FS442" s="15"/>
      <c r="FT442" s="15"/>
      <c r="FU442" s="15"/>
      <c r="FV442" s="15"/>
    </row>
    <row r="443" spans="22:178" s="2" customFormat="1">
      <c r="V443" s="15"/>
      <c r="DK443" s="15"/>
      <c r="DL443" s="15"/>
      <c r="DM443" s="15"/>
      <c r="DN443" s="15"/>
      <c r="DO443" s="15"/>
      <c r="DP443" s="15"/>
      <c r="DQ443" s="15"/>
      <c r="DR443" s="15"/>
      <c r="DS443" s="15"/>
      <c r="DT443" s="15"/>
      <c r="DU443" s="15"/>
      <c r="DV443" s="15"/>
      <c r="DW443" s="15"/>
      <c r="DX443" s="15"/>
      <c r="DY443" s="15"/>
      <c r="DZ443" s="15"/>
      <c r="EA443" s="15"/>
      <c r="EB443" s="15"/>
      <c r="EC443" s="15"/>
      <c r="ED443" s="15"/>
      <c r="EE443" s="15"/>
      <c r="EF443" s="15"/>
      <c r="EG443" s="15"/>
      <c r="EH443" s="15"/>
      <c r="EI443" s="15"/>
      <c r="EJ443" s="15"/>
      <c r="EK443" s="15"/>
      <c r="EL443" s="15"/>
      <c r="EM443" s="15"/>
      <c r="EN443" s="15"/>
      <c r="EO443" s="15"/>
      <c r="EP443" s="15"/>
      <c r="EQ443" s="15"/>
      <c r="ER443" s="15"/>
      <c r="ES443" s="15"/>
      <c r="ET443" s="15"/>
      <c r="EU443" s="15"/>
      <c r="EV443" s="15"/>
      <c r="EW443" s="15"/>
      <c r="EX443" s="15"/>
      <c r="EY443" s="15"/>
      <c r="EZ443" s="15"/>
      <c r="FA443" s="15"/>
      <c r="FB443" s="15"/>
      <c r="FC443" s="15"/>
      <c r="FD443" s="15"/>
      <c r="FE443" s="15"/>
      <c r="FF443" s="15"/>
      <c r="FG443" s="15"/>
      <c r="FH443" s="15"/>
      <c r="FI443" s="15"/>
      <c r="FJ443" s="15"/>
      <c r="FK443" s="15"/>
      <c r="FL443" s="15"/>
      <c r="FM443" s="15"/>
      <c r="FN443" s="15"/>
      <c r="FO443" s="15"/>
      <c r="FP443" s="15"/>
      <c r="FQ443" s="15"/>
      <c r="FR443" s="15"/>
      <c r="FS443" s="15"/>
      <c r="FT443" s="15"/>
      <c r="FU443" s="15"/>
      <c r="FV443" s="15"/>
    </row>
    <row r="444" spans="22:178" s="2" customFormat="1">
      <c r="V444" s="15"/>
      <c r="DK444" s="15"/>
      <c r="DL444" s="15"/>
      <c r="DM444" s="15"/>
      <c r="DN444" s="15"/>
      <c r="DO444" s="15"/>
      <c r="DP444" s="15"/>
      <c r="DQ444" s="15"/>
      <c r="DR444" s="15"/>
      <c r="DS444" s="15"/>
      <c r="DT444" s="15"/>
      <c r="DU444" s="15"/>
      <c r="DV444" s="15"/>
      <c r="DW444" s="15"/>
      <c r="DX444" s="15"/>
      <c r="DY444" s="15"/>
      <c r="DZ444" s="15"/>
      <c r="EA444" s="15"/>
      <c r="EB444" s="15"/>
      <c r="EC444" s="15"/>
      <c r="ED444" s="15"/>
      <c r="EE444" s="15"/>
      <c r="EF444" s="15"/>
      <c r="EG444" s="15"/>
      <c r="EH444" s="15"/>
      <c r="EI444" s="15"/>
      <c r="EJ444" s="15"/>
      <c r="EK444" s="15"/>
      <c r="EL444" s="15"/>
      <c r="EM444" s="15"/>
      <c r="EN444" s="15"/>
      <c r="EO444" s="15"/>
      <c r="EP444" s="15"/>
      <c r="EQ444" s="15"/>
      <c r="ER444" s="15"/>
      <c r="ES444" s="15"/>
      <c r="ET444" s="15"/>
      <c r="EU444" s="15"/>
      <c r="EV444" s="15"/>
      <c r="EW444" s="15"/>
      <c r="EX444" s="15"/>
      <c r="EY444" s="15"/>
      <c r="EZ444" s="15"/>
      <c r="FA444" s="15"/>
      <c r="FB444" s="15"/>
      <c r="FC444" s="15"/>
      <c r="FD444" s="15"/>
      <c r="FE444" s="15"/>
      <c r="FF444" s="15"/>
      <c r="FG444" s="15"/>
      <c r="FH444" s="15"/>
      <c r="FI444" s="15"/>
      <c r="FJ444" s="15"/>
      <c r="FK444" s="15"/>
      <c r="FL444" s="15"/>
      <c r="FM444" s="15"/>
      <c r="FN444" s="15"/>
      <c r="FO444" s="15"/>
      <c r="FP444" s="15"/>
      <c r="FQ444" s="15"/>
      <c r="FR444" s="15"/>
      <c r="FS444" s="15"/>
      <c r="FT444" s="15"/>
      <c r="FU444" s="15"/>
      <c r="FV444" s="15"/>
    </row>
    <row r="445" spans="22:178" s="2" customFormat="1">
      <c r="V445" s="15"/>
      <c r="DK445" s="15"/>
      <c r="DL445" s="15"/>
      <c r="DM445" s="15"/>
      <c r="DN445" s="15"/>
      <c r="DO445" s="15"/>
      <c r="DP445" s="15"/>
      <c r="DQ445" s="15"/>
      <c r="DR445" s="15"/>
      <c r="DS445" s="15"/>
      <c r="DT445" s="15"/>
      <c r="DU445" s="15"/>
      <c r="DV445" s="15"/>
      <c r="DW445" s="15"/>
      <c r="DX445" s="15"/>
      <c r="DY445" s="15"/>
      <c r="DZ445" s="15"/>
      <c r="EA445" s="15"/>
      <c r="EB445" s="15"/>
      <c r="EC445" s="15"/>
      <c r="ED445" s="15"/>
      <c r="EE445" s="15"/>
      <c r="EF445" s="15"/>
      <c r="EG445" s="15"/>
      <c r="EH445" s="15"/>
      <c r="EI445" s="15"/>
      <c r="EJ445" s="15"/>
      <c r="EK445" s="15"/>
      <c r="EL445" s="15"/>
      <c r="EM445" s="15"/>
      <c r="EN445" s="15"/>
      <c r="EO445" s="15"/>
      <c r="EP445" s="15"/>
      <c r="EQ445" s="15"/>
      <c r="ER445" s="15"/>
      <c r="ES445" s="15"/>
      <c r="ET445" s="15"/>
      <c r="EU445" s="15"/>
      <c r="EV445" s="15"/>
      <c r="EW445" s="15"/>
      <c r="EX445" s="15"/>
      <c r="EY445" s="15"/>
      <c r="EZ445" s="15"/>
      <c r="FA445" s="15"/>
      <c r="FB445" s="15"/>
      <c r="FC445" s="15"/>
      <c r="FD445" s="15"/>
      <c r="FE445" s="15"/>
      <c r="FF445" s="15"/>
      <c r="FG445" s="15"/>
      <c r="FH445" s="15"/>
      <c r="FI445" s="15"/>
      <c r="FJ445" s="15"/>
      <c r="FK445" s="15"/>
      <c r="FL445" s="15"/>
      <c r="FM445" s="15"/>
      <c r="FN445" s="15"/>
      <c r="FO445" s="15"/>
      <c r="FP445" s="15"/>
      <c r="FQ445" s="15"/>
      <c r="FR445" s="15"/>
      <c r="FS445" s="15"/>
      <c r="FT445" s="15"/>
      <c r="FU445" s="15"/>
      <c r="FV445" s="15"/>
    </row>
    <row r="446" spans="22:178" s="2" customFormat="1">
      <c r="V446" s="15"/>
      <c r="DK446" s="15"/>
      <c r="DL446" s="15"/>
      <c r="DM446" s="15"/>
      <c r="DN446" s="15"/>
      <c r="DO446" s="15"/>
      <c r="DP446" s="15"/>
      <c r="DQ446" s="15"/>
      <c r="DR446" s="15"/>
      <c r="DS446" s="15"/>
      <c r="DT446" s="15"/>
      <c r="DU446" s="15"/>
      <c r="DV446" s="15"/>
      <c r="DW446" s="15"/>
      <c r="DX446" s="15"/>
      <c r="DY446" s="15"/>
      <c r="DZ446" s="15"/>
      <c r="EA446" s="15"/>
      <c r="EB446" s="15"/>
      <c r="EC446" s="15"/>
      <c r="ED446" s="15"/>
      <c r="EE446" s="15"/>
      <c r="EF446" s="15"/>
      <c r="EG446" s="15"/>
      <c r="EH446" s="15"/>
      <c r="EI446" s="15"/>
      <c r="EJ446" s="15"/>
      <c r="EK446" s="15"/>
      <c r="EL446" s="15"/>
      <c r="EM446" s="15"/>
      <c r="EN446" s="15"/>
      <c r="EO446" s="15"/>
      <c r="EP446" s="15"/>
      <c r="EQ446" s="15"/>
      <c r="ER446" s="15"/>
      <c r="ES446" s="15"/>
      <c r="ET446" s="15"/>
      <c r="EU446" s="15"/>
      <c r="EV446" s="15"/>
      <c r="EW446" s="15"/>
      <c r="EX446" s="15"/>
      <c r="EY446" s="15"/>
      <c r="EZ446" s="15"/>
      <c r="FA446" s="15"/>
      <c r="FB446" s="15"/>
      <c r="FC446" s="15"/>
      <c r="FD446" s="15"/>
      <c r="FE446" s="15"/>
      <c r="FF446" s="15"/>
      <c r="FG446" s="15"/>
      <c r="FH446" s="15"/>
      <c r="FI446" s="15"/>
      <c r="FJ446" s="15"/>
      <c r="FK446" s="15"/>
      <c r="FL446" s="15"/>
      <c r="FM446" s="15"/>
      <c r="FN446" s="15"/>
      <c r="FO446" s="15"/>
      <c r="FP446" s="15"/>
      <c r="FQ446" s="15"/>
      <c r="FR446" s="15"/>
      <c r="FS446" s="15"/>
      <c r="FT446" s="15"/>
      <c r="FU446" s="15"/>
      <c r="FV446" s="15"/>
    </row>
    <row r="447" spans="22:178" s="2" customFormat="1">
      <c r="V447" s="15"/>
      <c r="DK447" s="15"/>
      <c r="DL447" s="15"/>
      <c r="DM447" s="15"/>
      <c r="DN447" s="15"/>
      <c r="DO447" s="15"/>
      <c r="DP447" s="15"/>
      <c r="DQ447" s="15"/>
      <c r="DR447" s="15"/>
      <c r="DS447" s="15"/>
      <c r="DT447" s="15"/>
      <c r="DU447" s="15"/>
      <c r="DV447" s="15"/>
      <c r="DW447" s="15"/>
      <c r="DX447" s="15"/>
      <c r="DY447" s="15"/>
      <c r="DZ447" s="15"/>
      <c r="EA447" s="15"/>
      <c r="EB447" s="15"/>
      <c r="EC447" s="15"/>
      <c r="ED447" s="15"/>
      <c r="EE447" s="15"/>
      <c r="EF447" s="15"/>
      <c r="EG447" s="15"/>
      <c r="EH447" s="15"/>
      <c r="EI447" s="15"/>
      <c r="EJ447" s="15"/>
      <c r="EK447" s="15"/>
      <c r="EL447" s="15"/>
      <c r="EM447" s="15"/>
      <c r="EN447" s="15"/>
      <c r="EO447" s="15"/>
      <c r="EP447" s="15"/>
      <c r="EQ447" s="15"/>
      <c r="ER447" s="15"/>
      <c r="ES447" s="15"/>
      <c r="ET447" s="15"/>
      <c r="EU447" s="15"/>
      <c r="EV447" s="15"/>
      <c r="EW447" s="15"/>
      <c r="EX447" s="15"/>
      <c r="EY447" s="15"/>
      <c r="EZ447" s="15"/>
      <c r="FA447" s="15"/>
      <c r="FB447" s="15"/>
      <c r="FC447" s="15"/>
      <c r="FD447" s="15"/>
      <c r="FE447" s="15"/>
      <c r="FF447" s="15"/>
      <c r="FG447" s="15"/>
      <c r="FH447" s="15"/>
      <c r="FI447" s="15"/>
      <c r="FJ447" s="15"/>
      <c r="FK447" s="15"/>
      <c r="FL447" s="15"/>
      <c r="FM447" s="15"/>
      <c r="FN447" s="15"/>
      <c r="FO447" s="15"/>
      <c r="FP447" s="15"/>
      <c r="FQ447" s="15"/>
      <c r="FR447" s="15"/>
      <c r="FS447" s="15"/>
      <c r="FT447" s="15"/>
      <c r="FU447" s="15"/>
      <c r="FV447" s="15"/>
    </row>
    <row r="448" spans="22:178" s="2" customFormat="1">
      <c r="V448" s="15"/>
      <c r="DK448" s="15"/>
      <c r="DL448" s="15"/>
      <c r="DM448" s="15"/>
      <c r="DN448" s="15"/>
      <c r="DO448" s="15"/>
      <c r="DP448" s="15"/>
      <c r="DQ448" s="15"/>
      <c r="DR448" s="15"/>
      <c r="DS448" s="15"/>
      <c r="DT448" s="15"/>
      <c r="DU448" s="15"/>
      <c r="DV448" s="15"/>
      <c r="DW448" s="15"/>
      <c r="DX448" s="15"/>
      <c r="DY448" s="15"/>
      <c r="DZ448" s="15"/>
      <c r="EA448" s="15"/>
      <c r="EB448" s="15"/>
      <c r="EC448" s="15"/>
      <c r="ED448" s="15"/>
      <c r="EE448" s="15"/>
      <c r="EF448" s="15"/>
      <c r="EG448" s="15"/>
      <c r="EH448" s="15"/>
      <c r="EI448" s="15"/>
      <c r="EJ448" s="15"/>
      <c r="EK448" s="15"/>
      <c r="EL448" s="15"/>
      <c r="EM448" s="15"/>
      <c r="EN448" s="15"/>
      <c r="EO448" s="15"/>
      <c r="EP448" s="15"/>
      <c r="EQ448" s="15"/>
      <c r="ER448" s="15"/>
      <c r="ES448" s="15"/>
      <c r="ET448" s="15"/>
      <c r="EU448" s="15"/>
      <c r="EV448" s="15"/>
      <c r="EW448" s="15"/>
      <c r="EX448" s="15"/>
      <c r="EY448" s="15"/>
      <c r="EZ448" s="15"/>
      <c r="FA448" s="15"/>
      <c r="FB448" s="15"/>
      <c r="FC448" s="15"/>
      <c r="FD448" s="15"/>
      <c r="FE448" s="15"/>
      <c r="FF448" s="15"/>
      <c r="FG448" s="15"/>
      <c r="FH448" s="15"/>
      <c r="FI448" s="15"/>
      <c r="FJ448" s="15"/>
      <c r="FK448" s="15"/>
      <c r="FL448" s="15"/>
      <c r="FM448" s="15"/>
      <c r="FN448" s="15"/>
      <c r="FO448" s="15"/>
      <c r="FP448" s="15"/>
      <c r="FQ448" s="15"/>
      <c r="FR448" s="15"/>
      <c r="FS448" s="15"/>
      <c r="FT448" s="15"/>
      <c r="FU448" s="15"/>
      <c r="FV448" s="15"/>
    </row>
    <row r="449" spans="22:178" s="2" customFormat="1">
      <c r="V449" s="15"/>
      <c r="DK449" s="15"/>
      <c r="DL449" s="15"/>
      <c r="DM449" s="15"/>
      <c r="DN449" s="15"/>
      <c r="DO449" s="15"/>
      <c r="DP449" s="15"/>
      <c r="DQ449" s="15"/>
      <c r="DR449" s="15"/>
      <c r="DS449" s="15"/>
      <c r="DT449" s="15"/>
      <c r="DU449" s="15"/>
      <c r="DV449" s="15"/>
      <c r="DW449" s="15"/>
      <c r="DX449" s="15"/>
      <c r="DY449" s="15"/>
      <c r="DZ449" s="15"/>
      <c r="EA449" s="15"/>
      <c r="EB449" s="15"/>
      <c r="EC449" s="15"/>
      <c r="ED449" s="15"/>
      <c r="EE449" s="15"/>
      <c r="EF449" s="15"/>
      <c r="EG449" s="15"/>
      <c r="EH449" s="15"/>
      <c r="EI449" s="15"/>
      <c r="EJ449" s="15"/>
      <c r="EK449" s="15"/>
      <c r="EL449" s="15"/>
      <c r="EM449" s="15"/>
      <c r="EN449" s="15"/>
      <c r="EO449" s="15"/>
      <c r="EP449" s="15"/>
      <c r="EQ449" s="15"/>
      <c r="ER449" s="15"/>
      <c r="ES449" s="15"/>
      <c r="ET449" s="15"/>
      <c r="EU449" s="15"/>
      <c r="EV449" s="15"/>
      <c r="EW449" s="15"/>
      <c r="EX449" s="15"/>
      <c r="EY449" s="15"/>
      <c r="EZ449" s="15"/>
      <c r="FA449" s="15"/>
      <c r="FB449" s="15"/>
      <c r="FC449" s="15"/>
      <c r="FD449" s="15"/>
      <c r="FE449" s="15"/>
      <c r="FF449" s="15"/>
      <c r="FG449" s="15"/>
      <c r="FH449" s="15"/>
      <c r="FI449" s="15"/>
      <c r="FJ449" s="15"/>
      <c r="FK449" s="15"/>
      <c r="FL449" s="15"/>
      <c r="FM449" s="15"/>
      <c r="FN449" s="15"/>
      <c r="FO449" s="15"/>
      <c r="FP449" s="15"/>
      <c r="FQ449" s="15"/>
      <c r="FR449" s="15"/>
      <c r="FS449" s="15"/>
      <c r="FT449" s="15"/>
      <c r="FU449" s="15"/>
      <c r="FV449" s="15"/>
    </row>
    <row r="450" spans="22:178" s="2" customFormat="1">
      <c r="V450" s="15"/>
      <c r="DK450" s="15"/>
      <c r="DL450" s="15"/>
      <c r="DM450" s="15"/>
      <c r="DN450" s="15"/>
      <c r="DO450" s="15"/>
      <c r="DP450" s="15"/>
      <c r="DQ450" s="15"/>
      <c r="DR450" s="15"/>
      <c r="DS450" s="15"/>
      <c r="DT450" s="15"/>
      <c r="DU450" s="15"/>
      <c r="DV450" s="15"/>
      <c r="DW450" s="15"/>
      <c r="DX450" s="15"/>
      <c r="DY450" s="15"/>
      <c r="DZ450" s="15"/>
      <c r="EA450" s="15"/>
      <c r="EB450" s="15"/>
      <c r="EC450" s="15"/>
      <c r="ED450" s="15"/>
      <c r="EE450" s="15"/>
      <c r="EF450" s="15"/>
      <c r="EG450" s="15"/>
      <c r="EH450" s="15"/>
      <c r="EI450" s="15"/>
      <c r="EJ450" s="15"/>
      <c r="EK450" s="15"/>
      <c r="EL450" s="15"/>
      <c r="EM450" s="15"/>
      <c r="EN450" s="15"/>
      <c r="EO450" s="15"/>
      <c r="EP450" s="15"/>
      <c r="EQ450" s="15"/>
      <c r="ER450" s="15"/>
      <c r="ES450" s="15"/>
      <c r="ET450" s="15"/>
      <c r="EU450" s="15"/>
      <c r="EV450" s="15"/>
      <c r="EW450" s="15"/>
      <c r="EX450" s="15"/>
      <c r="EY450" s="15"/>
      <c r="EZ450" s="15"/>
      <c r="FA450" s="15"/>
      <c r="FB450" s="15"/>
      <c r="FC450" s="15"/>
      <c r="FD450" s="15"/>
      <c r="FE450" s="15"/>
      <c r="FF450" s="15"/>
      <c r="FG450" s="15"/>
      <c r="FH450" s="15"/>
      <c r="FI450" s="15"/>
      <c r="FJ450" s="15"/>
      <c r="FK450" s="15"/>
      <c r="FL450" s="15"/>
      <c r="FM450" s="15"/>
      <c r="FN450" s="15"/>
      <c r="FO450" s="15"/>
      <c r="FP450" s="15"/>
      <c r="FQ450" s="15"/>
      <c r="FR450" s="15"/>
      <c r="FS450" s="15"/>
      <c r="FT450" s="15"/>
      <c r="FU450" s="15"/>
      <c r="FV450" s="15"/>
    </row>
    <row r="451" spans="22:178" s="2" customFormat="1">
      <c r="V451" s="15"/>
      <c r="DK451" s="15"/>
      <c r="DL451" s="15"/>
      <c r="DM451" s="15"/>
      <c r="DN451" s="15"/>
      <c r="DO451" s="15"/>
      <c r="DP451" s="15"/>
      <c r="DQ451" s="15"/>
      <c r="DR451" s="15"/>
      <c r="DS451" s="15"/>
      <c r="DT451" s="15"/>
      <c r="DU451" s="15"/>
      <c r="DV451" s="15"/>
      <c r="DW451" s="15"/>
      <c r="DX451" s="15"/>
      <c r="DY451" s="15"/>
      <c r="DZ451" s="15"/>
      <c r="EA451" s="15"/>
      <c r="EB451" s="15"/>
      <c r="EC451" s="15"/>
      <c r="ED451" s="15"/>
      <c r="EE451" s="15"/>
      <c r="EF451" s="15"/>
      <c r="EG451" s="15"/>
      <c r="EH451" s="15"/>
      <c r="EI451" s="15"/>
      <c r="EJ451" s="15"/>
      <c r="EK451" s="15"/>
      <c r="EL451" s="15"/>
      <c r="EM451" s="15"/>
      <c r="EN451" s="15"/>
      <c r="EO451" s="15"/>
      <c r="EP451" s="15"/>
      <c r="EQ451" s="15"/>
      <c r="ER451" s="15"/>
      <c r="ES451" s="15"/>
      <c r="ET451" s="15"/>
      <c r="EU451" s="15"/>
      <c r="EV451" s="15"/>
      <c r="EW451" s="15"/>
      <c r="EX451" s="15"/>
      <c r="EY451" s="15"/>
      <c r="EZ451" s="15"/>
      <c r="FA451" s="15"/>
      <c r="FB451" s="15"/>
      <c r="FC451" s="15"/>
      <c r="FD451" s="15"/>
      <c r="FE451" s="15"/>
      <c r="FF451" s="15"/>
      <c r="FG451" s="15"/>
      <c r="FH451" s="15"/>
      <c r="FI451" s="15"/>
      <c r="FJ451" s="15"/>
      <c r="FK451" s="15"/>
      <c r="FL451" s="15"/>
      <c r="FM451" s="15"/>
      <c r="FN451" s="15"/>
      <c r="FO451" s="15"/>
      <c r="FP451" s="15"/>
      <c r="FQ451" s="15"/>
      <c r="FR451" s="15"/>
      <c r="FS451" s="15"/>
      <c r="FT451" s="15"/>
      <c r="FU451" s="15"/>
      <c r="FV451" s="15"/>
    </row>
    <row r="452" spans="22:178" s="2" customFormat="1">
      <c r="V452" s="15"/>
      <c r="DK452" s="15"/>
      <c r="DL452" s="15"/>
      <c r="DM452" s="15"/>
      <c r="DN452" s="15"/>
      <c r="DO452" s="15"/>
      <c r="DP452" s="15"/>
      <c r="DQ452" s="15"/>
      <c r="DR452" s="15"/>
      <c r="DS452" s="15"/>
      <c r="DT452" s="15"/>
      <c r="DU452" s="15"/>
      <c r="DV452" s="15"/>
      <c r="DW452" s="15"/>
      <c r="DX452" s="15"/>
      <c r="DY452" s="15"/>
      <c r="DZ452" s="15"/>
      <c r="EA452" s="15"/>
      <c r="EB452" s="15"/>
      <c r="EC452" s="15"/>
      <c r="ED452" s="15"/>
      <c r="EE452" s="15"/>
      <c r="EF452" s="15"/>
      <c r="EG452" s="15"/>
      <c r="EH452" s="15"/>
      <c r="EI452" s="15"/>
      <c r="EJ452" s="15"/>
      <c r="EK452" s="15"/>
      <c r="EL452" s="15"/>
      <c r="EM452" s="15"/>
      <c r="EN452" s="15"/>
      <c r="EO452" s="15"/>
      <c r="EP452" s="15"/>
      <c r="EQ452" s="15"/>
      <c r="ER452" s="15"/>
      <c r="ES452" s="15"/>
      <c r="ET452" s="15"/>
      <c r="EU452" s="15"/>
      <c r="EV452" s="15"/>
      <c r="EW452" s="15"/>
      <c r="EX452" s="15"/>
      <c r="EY452" s="15"/>
      <c r="EZ452" s="15"/>
      <c r="FA452" s="15"/>
      <c r="FB452" s="15"/>
      <c r="FC452" s="15"/>
      <c r="FD452" s="15"/>
      <c r="FE452" s="15"/>
      <c r="FF452" s="15"/>
      <c r="FG452" s="15"/>
      <c r="FH452" s="15"/>
      <c r="FI452" s="15"/>
      <c r="FJ452" s="15"/>
      <c r="FK452" s="15"/>
      <c r="FL452" s="15"/>
      <c r="FM452" s="15"/>
      <c r="FN452" s="15"/>
      <c r="FO452" s="15"/>
      <c r="FP452" s="15"/>
      <c r="FQ452" s="15"/>
      <c r="FR452" s="15"/>
      <c r="FS452" s="15"/>
      <c r="FT452" s="15"/>
      <c r="FU452" s="15"/>
      <c r="FV452" s="15"/>
    </row>
    <row r="453" spans="22:178" s="2" customFormat="1">
      <c r="V453" s="15"/>
      <c r="DK453" s="15"/>
      <c r="DL453" s="15"/>
      <c r="DM453" s="15"/>
      <c r="DN453" s="15"/>
      <c r="DO453" s="15"/>
      <c r="DP453" s="15"/>
      <c r="DQ453" s="15"/>
      <c r="DR453" s="15"/>
      <c r="DS453" s="15"/>
      <c r="DT453" s="15"/>
      <c r="DU453" s="15"/>
      <c r="DV453" s="15"/>
      <c r="DW453" s="15"/>
      <c r="DX453" s="15"/>
      <c r="DY453" s="15"/>
      <c r="DZ453" s="15"/>
      <c r="EA453" s="15"/>
      <c r="EB453" s="15"/>
      <c r="EC453" s="15"/>
      <c r="ED453" s="15"/>
      <c r="EE453" s="15"/>
      <c r="EF453" s="15"/>
      <c r="EG453" s="15"/>
      <c r="EH453" s="15"/>
      <c r="EI453" s="15"/>
      <c r="EJ453" s="15"/>
      <c r="EK453" s="15"/>
      <c r="EL453" s="15"/>
      <c r="EM453" s="15"/>
      <c r="EN453" s="15"/>
      <c r="EO453" s="15"/>
      <c r="EP453" s="15"/>
      <c r="EQ453" s="15"/>
      <c r="ER453" s="15"/>
      <c r="ES453" s="15"/>
      <c r="ET453" s="15"/>
      <c r="EU453" s="15"/>
      <c r="EV453" s="15"/>
      <c r="EW453" s="15"/>
      <c r="EX453" s="15"/>
      <c r="EY453" s="15"/>
      <c r="EZ453" s="15"/>
      <c r="FA453" s="15"/>
      <c r="FB453" s="15"/>
      <c r="FC453" s="15"/>
      <c r="FD453" s="15"/>
      <c r="FE453" s="15"/>
      <c r="FF453" s="15"/>
      <c r="FG453" s="15"/>
      <c r="FH453" s="15"/>
      <c r="FI453" s="15"/>
      <c r="FJ453" s="15"/>
      <c r="FK453" s="15"/>
      <c r="FL453" s="15"/>
      <c r="FM453" s="15"/>
      <c r="FN453" s="15"/>
      <c r="FO453" s="15"/>
      <c r="FP453" s="15"/>
      <c r="FQ453" s="15"/>
      <c r="FR453" s="15"/>
      <c r="FS453" s="15"/>
      <c r="FT453" s="15"/>
      <c r="FU453" s="15"/>
      <c r="FV453" s="15"/>
    </row>
    <row r="454" spans="22:178" s="2" customFormat="1">
      <c r="V454" s="15"/>
      <c r="DK454" s="15"/>
      <c r="DL454" s="15"/>
      <c r="DM454" s="15"/>
      <c r="DN454" s="15"/>
      <c r="DO454" s="15"/>
      <c r="DP454" s="15"/>
      <c r="DQ454" s="15"/>
      <c r="DR454" s="15"/>
      <c r="DS454" s="15"/>
      <c r="DT454" s="15"/>
      <c r="DU454" s="15"/>
      <c r="DV454" s="15"/>
      <c r="DW454" s="15"/>
      <c r="DX454" s="15"/>
      <c r="DY454" s="15"/>
      <c r="DZ454" s="15"/>
      <c r="EA454" s="15"/>
      <c r="EB454" s="15"/>
      <c r="EC454" s="15"/>
      <c r="ED454" s="15"/>
      <c r="EE454" s="15"/>
      <c r="EF454" s="15"/>
      <c r="EG454" s="15"/>
      <c r="EH454" s="15"/>
      <c r="EI454" s="15"/>
      <c r="EJ454" s="15"/>
      <c r="EK454" s="15"/>
      <c r="EL454" s="15"/>
      <c r="EM454" s="15"/>
      <c r="EN454" s="15"/>
      <c r="EO454" s="15"/>
      <c r="EP454" s="15"/>
      <c r="EQ454" s="15"/>
      <c r="ER454" s="15"/>
      <c r="ES454" s="15"/>
      <c r="ET454" s="15"/>
      <c r="EU454" s="15"/>
      <c r="EV454" s="15"/>
      <c r="EW454" s="15"/>
      <c r="EX454" s="15"/>
      <c r="EY454" s="15"/>
      <c r="EZ454" s="15"/>
      <c r="FA454" s="15"/>
      <c r="FB454" s="15"/>
      <c r="FC454" s="15"/>
      <c r="FD454" s="15"/>
      <c r="FE454" s="15"/>
      <c r="FF454" s="15"/>
      <c r="FG454" s="15"/>
      <c r="FH454" s="15"/>
      <c r="FI454" s="15"/>
      <c r="FJ454" s="15"/>
      <c r="FK454" s="15"/>
      <c r="FL454" s="15"/>
      <c r="FM454" s="15"/>
      <c r="FN454" s="15"/>
      <c r="FO454" s="15"/>
      <c r="FP454" s="15"/>
      <c r="FQ454" s="15"/>
      <c r="FR454" s="15"/>
      <c r="FS454" s="15"/>
      <c r="FT454" s="15"/>
      <c r="FU454" s="15"/>
      <c r="FV454" s="15"/>
    </row>
    <row r="455" spans="22:178" s="2" customFormat="1">
      <c r="V455" s="15"/>
      <c r="DK455" s="15"/>
      <c r="DL455" s="15"/>
      <c r="DM455" s="15"/>
      <c r="DN455" s="15"/>
      <c r="DO455" s="15"/>
      <c r="DP455" s="15"/>
      <c r="DQ455" s="15"/>
      <c r="DR455" s="15"/>
      <c r="DS455" s="15"/>
      <c r="DT455" s="15"/>
      <c r="DU455" s="15"/>
      <c r="DV455" s="15"/>
      <c r="DW455" s="15"/>
      <c r="DX455" s="15"/>
      <c r="DY455" s="15"/>
      <c r="DZ455" s="15"/>
      <c r="EA455" s="15"/>
      <c r="EB455" s="15"/>
      <c r="EC455" s="15"/>
      <c r="ED455" s="15"/>
      <c r="EE455" s="15"/>
      <c r="EF455" s="15"/>
      <c r="EG455" s="15"/>
      <c r="EH455" s="15"/>
      <c r="EI455" s="15"/>
      <c r="EJ455" s="15"/>
      <c r="EK455" s="15"/>
      <c r="EL455" s="15"/>
      <c r="EM455" s="15"/>
      <c r="EN455" s="15"/>
      <c r="EO455" s="15"/>
      <c r="EP455" s="15"/>
      <c r="EQ455" s="15"/>
      <c r="ER455" s="15"/>
      <c r="ES455" s="15"/>
      <c r="ET455" s="15"/>
      <c r="EU455" s="15"/>
      <c r="EV455" s="15"/>
      <c r="EW455" s="15"/>
      <c r="EX455" s="15"/>
      <c r="EY455" s="15"/>
      <c r="EZ455" s="15"/>
      <c r="FA455" s="15"/>
      <c r="FB455" s="15"/>
      <c r="FC455" s="15"/>
      <c r="FD455" s="15"/>
      <c r="FE455" s="15"/>
      <c r="FF455" s="15"/>
      <c r="FG455" s="15"/>
      <c r="FH455" s="15"/>
      <c r="FI455" s="15"/>
      <c r="FJ455" s="15"/>
      <c r="FK455" s="15"/>
      <c r="FL455" s="15"/>
      <c r="FM455" s="15"/>
      <c r="FN455" s="15"/>
      <c r="FO455" s="15"/>
      <c r="FP455" s="15"/>
      <c r="FQ455" s="15"/>
      <c r="FR455" s="15"/>
      <c r="FS455" s="15"/>
      <c r="FT455" s="15"/>
      <c r="FU455" s="15"/>
      <c r="FV455" s="15"/>
    </row>
    <row r="456" spans="22:178" s="2" customFormat="1">
      <c r="V456" s="15"/>
      <c r="DK456" s="15"/>
      <c r="DL456" s="15"/>
      <c r="DM456" s="15"/>
      <c r="DN456" s="15"/>
      <c r="DO456" s="15"/>
      <c r="DP456" s="15"/>
      <c r="DQ456" s="15"/>
      <c r="DR456" s="15"/>
      <c r="DS456" s="15"/>
      <c r="DT456" s="15"/>
      <c r="DU456" s="15"/>
      <c r="DV456" s="15"/>
      <c r="DW456" s="15"/>
      <c r="DX456" s="15"/>
      <c r="DY456" s="15"/>
      <c r="DZ456" s="15"/>
      <c r="EA456" s="15"/>
      <c r="EB456" s="15"/>
      <c r="EC456" s="15"/>
      <c r="ED456" s="15"/>
      <c r="EE456" s="15"/>
      <c r="EF456" s="15"/>
      <c r="EG456" s="15"/>
      <c r="EH456" s="15"/>
      <c r="EI456" s="15"/>
      <c r="EJ456" s="15"/>
      <c r="EK456" s="15"/>
      <c r="EL456" s="15"/>
      <c r="EM456" s="15"/>
      <c r="EN456" s="15"/>
      <c r="EO456" s="15"/>
      <c r="EP456" s="15"/>
      <c r="EQ456" s="15"/>
      <c r="ER456" s="15"/>
      <c r="ES456" s="15"/>
      <c r="ET456" s="15"/>
      <c r="EU456" s="15"/>
      <c r="EV456" s="15"/>
      <c r="EW456" s="15"/>
      <c r="EX456" s="15"/>
      <c r="EY456" s="15"/>
      <c r="EZ456" s="15"/>
      <c r="FA456" s="15"/>
      <c r="FB456" s="15"/>
      <c r="FC456" s="15"/>
      <c r="FD456" s="15"/>
      <c r="FE456" s="15"/>
      <c r="FF456" s="15"/>
      <c r="FG456" s="15"/>
      <c r="FH456" s="15"/>
      <c r="FI456" s="15"/>
      <c r="FJ456" s="15"/>
      <c r="FK456" s="15"/>
      <c r="FL456" s="15"/>
      <c r="FM456" s="15"/>
      <c r="FN456" s="15"/>
      <c r="FO456" s="15"/>
      <c r="FP456" s="15"/>
      <c r="FQ456" s="15"/>
      <c r="FR456" s="15"/>
      <c r="FS456" s="15"/>
      <c r="FT456" s="15"/>
      <c r="FU456" s="15"/>
      <c r="FV456" s="15"/>
    </row>
    <row r="457" spans="22:178" s="2" customFormat="1">
      <c r="V457" s="15"/>
      <c r="DK457" s="15"/>
      <c r="DL457" s="15"/>
      <c r="DM457" s="15"/>
      <c r="DN457" s="15"/>
      <c r="DO457" s="15"/>
      <c r="DP457" s="15"/>
      <c r="DQ457" s="15"/>
      <c r="DR457" s="15"/>
      <c r="DS457" s="15"/>
      <c r="DT457" s="15"/>
      <c r="DU457" s="15"/>
      <c r="DV457" s="15"/>
      <c r="DW457" s="15"/>
      <c r="DX457" s="15"/>
      <c r="DY457" s="15"/>
      <c r="DZ457" s="15"/>
      <c r="EA457" s="15"/>
      <c r="EB457" s="15"/>
      <c r="EC457" s="15"/>
      <c r="ED457" s="15"/>
      <c r="EE457" s="15"/>
      <c r="EF457" s="15"/>
      <c r="EG457" s="15"/>
      <c r="EH457" s="15"/>
      <c r="EI457" s="15"/>
      <c r="EJ457" s="15"/>
      <c r="EK457" s="15"/>
      <c r="EL457" s="15"/>
      <c r="EM457" s="15"/>
      <c r="EN457" s="15"/>
      <c r="EO457" s="15"/>
      <c r="EP457" s="15"/>
      <c r="EQ457" s="15"/>
      <c r="ER457" s="15"/>
      <c r="ES457" s="15"/>
      <c r="ET457" s="15"/>
      <c r="EU457" s="15"/>
      <c r="EV457" s="15"/>
      <c r="EW457" s="15"/>
      <c r="EX457" s="15"/>
      <c r="EY457" s="15"/>
      <c r="EZ457" s="15"/>
      <c r="FA457" s="15"/>
      <c r="FB457" s="15"/>
      <c r="FC457" s="15"/>
      <c r="FD457" s="15"/>
      <c r="FE457" s="15"/>
      <c r="FF457" s="15"/>
      <c r="FG457" s="15"/>
      <c r="FH457" s="15"/>
      <c r="FI457" s="15"/>
      <c r="FJ457" s="15"/>
      <c r="FK457" s="15"/>
      <c r="FL457" s="15"/>
      <c r="FM457" s="15"/>
      <c r="FN457" s="15"/>
      <c r="FO457" s="15"/>
      <c r="FP457" s="15"/>
      <c r="FQ457" s="15"/>
      <c r="FR457" s="15"/>
      <c r="FS457" s="15"/>
      <c r="FT457" s="15"/>
      <c r="FU457" s="15"/>
      <c r="FV457" s="15"/>
    </row>
    <row r="458" spans="22:178" s="2" customFormat="1">
      <c r="V458" s="15"/>
      <c r="DK458" s="15"/>
      <c r="DL458" s="15"/>
      <c r="DM458" s="15"/>
      <c r="DN458" s="15"/>
      <c r="DO458" s="15"/>
      <c r="DP458" s="15"/>
      <c r="DQ458" s="15"/>
      <c r="DR458" s="15"/>
      <c r="DS458" s="15"/>
      <c r="DT458" s="15"/>
      <c r="DU458" s="15"/>
      <c r="DV458" s="15"/>
      <c r="DW458" s="15"/>
      <c r="DX458" s="15"/>
      <c r="DY458" s="15"/>
      <c r="DZ458" s="15"/>
      <c r="EA458" s="15"/>
      <c r="EB458" s="15"/>
      <c r="EC458" s="15"/>
      <c r="ED458" s="15"/>
      <c r="EE458" s="15"/>
      <c r="EF458" s="15"/>
      <c r="EG458" s="15"/>
      <c r="EH458" s="15"/>
      <c r="EI458" s="15"/>
      <c r="EJ458" s="15"/>
      <c r="EK458" s="15"/>
      <c r="EL458" s="15"/>
      <c r="EM458" s="15"/>
      <c r="EN458" s="15"/>
      <c r="EO458" s="15"/>
      <c r="EP458" s="15"/>
      <c r="EQ458" s="15"/>
      <c r="ER458" s="15"/>
      <c r="ES458" s="15"/>
      <c r="ET458" s="15"/>
      <c r="EU458" s="15"/>
      <c r="EV458" s="15"/>
      <c r="EW458" s="15"/>
      <c r="EX458" s="15"/>
      <c r="EY458" s="15"/>
      <c r="EZ458" s="15"/>
      <c r="FA458" s="15"/>
      <c r="FB458" s="15"/>
      <c r="FC458" s="15"/>
      <c r="FD458" s="15"/>
      <c r="FE458" s="15"/>
      <c r="FF458" s="15"/>
      <c r="FG458" s="15"/>
      <c r="FH458" s="15"/>
      <c r="FI458" s="15"/>
      <c r="FJ458" s="15"/>
      <c r="FK458" s="15"/>
      <c r="FL458" s="15"/>
      <c r="FM458" s="15"/>
      <c r="FN458" s="15"/>
      <c r="FO458" s="15"/>
      <c r="FP458" s="15"/>
      <c r="FQ458" s="15"/>
      <c r="FR458" s="15"/>
      <c r="FS458" s="15"/>
      <c r="FT458" s="15"/>
      <c r="FU458" s="15"/>
      <c r="FV458" s="15"/>
    </row>
    <row r="459" spans="22:178" s="2" customFormat="1">
      <c r="V459" s="15"/>
      <c r="DK459" s="15"/>
      <c r="DL459" s="15"/>
      <c r="DM459" s="15"/>
      <c r="DN459" s="15"/>
      <c r="DO459" s="15"/>
      <c r="DP459" s="15"/>
      <c r="DQ459" s="15"/>
      <c r="DR459" s="15"/>
      <c r="DS459" s="15"/>
      <c r="DT459" s="15"/>
      <c r="DU459" s="15"/>
      <c r="DV459" s="15"/>
      <c r="DW459" s="15"/>
      <c r="DX459" s="15"/>
      <c r="DY459" s="15"/>
      <c r="DZ459" s="15"/>
      <c r="EA459" s="15"/>
      <c r="EB459" s="15"/>
      <c r="EC459" s="15"/>
      <c r="ED459" s="15"/>
      <c r="EE459" s="15"/>
      <c r="EF459" s="15"/>
      <c r="EG459" s="15"/>
      <c r="EH459" s="15"/>
      <c r="EI459" s="15"/>
      <c r="EJ459" s="15"/>
      <c r="EK459" s="15"/>
      <c r="EL459" s="15"/>
      <c r="EM459" s="15"/>
      <c r="EN459" s="15"/>
      <c r="EO459" s="15"/>
      <c r="EP459" s="15"/>
      <c r="EQ459" s="15"/>
      <c r="ER459" s="15"/>
      <c r="ES459" s="15"/>
      <c r="ET459" s="15"/>
      <c r="EU459" s="15"/>
      <c r="EV459" s="15"/>
      <c r="EW459" s="15"/>
      <c r="EX459" s="15"/>
      <c r="EY459" s="15"/>
      <c r="EZ459" s="15"/>
      <c r="FA459" s="15"/>
      <c r="FB459" s="15"/>
      <c r="FC459" s="15"/>
      <c r="FD459" s="15"/>
      <c r="FE459" s="15"/>
      <c r="FF459" s="15"/>
      <c r="FG459" s="15"/>
      <c r="FH459" s="15"/>
      <c r="FI459" s="15"/>
      <c r="FJ459" s="15"/>
      <c r="FK459" s="15"/>
      <c r="FL459" s="15"/>
      <c r="FM459" s="15"/>
      <c r="FN459" s="15"/>
      <c r="FO459" s="15"/>
      <c r="FP459" s="15"/>
      <c r="FQ459" s="15"/>
      <c r="FR459" s="15"/>
      <c r="FS459" s="15"/>
      <c r="FT459" s="15"/>
      <c r="FU459" s="15"/>
      <c r="FV459" s="15"/>
    </row>
    <row r="460" spans="22:178" s="2" customFormat="1">
      <c r="V460" s="15"/>
      <c r="DK460" s="15"/>
      <c r="DL460" s="15"/>
      <c r="DM460" s="15"/>
      <c r="DN460" s="15"/>
      <c r="DO460" s="15"/>
      <c r="DP460" s="15"/>
      <c r="DQ460" s="15"/>
      <c r="DR460" s="15"/>
      <c r="DS460" s="15"/>
      <c r="DT460" s="15"/>
      <c r="DU460" s="15"/>
      <c r="DV460" s="15"/>
      <c r="DW460" s="15"/>
      <c r="DX460" s="15"/>
      <c r="DY460" s="15"/>
      <c r="DZ460" s="15"/>
      <c r="EA460" s="15"/>
      <c r="EB460" s="15"/>
      <c r="EC460" s="15"/>
      <c r="ED460" s="15"/>
      <c r="EE460" s="15"/>
      <c r="EF460" s="15"/>
      <c r="EG460" s="15"/>
      <c r="EH460" s="15"/>
      <c r="EI460" s="15"/>
      <c r="EJ460" s="15"/>
      <c r="EK460" s="15"/>
      <c r="EL460" s="15"/>
      <c r="EM460" s="15"/>
      <c r="EN460" s="15"/>
      <c r="EO460" s="15"/>
      <c r="EP460" s="15"/>
      <c r="EQ460" s="15"/>
      <c r="ER460" s="15"/>
      <c r="ES460" s="15"/>
      <c r="ET460" s="15"/>
      <c r="EU460" s="15"/>
      <c r="EV460" s="15"/>
      <c r="EW460" s="15"/>
      <c r="EX460" s="15"/>
      <c r="EY460" s="15"/>
      <c r="EZ460" s="15"/>
      <c r="FA460" s="15"/>
      <c r="FB460" s="15"/>
      <c r="FC460" s="15"/>
      <c r="FD460" s="15"/>
      <c r="FE460" s="15"/>
      <c r="FF460" s="15"/>
      <c r="FG460" s="15"/>
      <c r="FH460" s="15"/>
      <c r="FI460" s="15"/>
      <c r="FJ460" s="15"/>
      <c r="FK460" s="15"/>
      <c r="FL460" s="15"/>
      <c r="FM460" s="15"/>
      <c r="FN460" s="15"/>
      <c r="FO460" s="15"/>
      <c r="FP460" s="15"/>
      <c r="FQ460" s="15"/>
      <c r="FR460" s="15"/>
      <c r="FS460" s="15"/>
      <c r="FT460" s="15"/>
      <c r="FU460" s="15"/>
      <c r="FV460" s="15"/>
    </row>
    <row r="461" spans="22:178" s="2" customFormat="1">
      <c r="V461" s="15"/>
      <c r="DK461" s="15"/>
      <c r="DL461" s="15"/>
      <c r="DM461" s="15"/>
      <c r="DN461" s="15"/>
      <c r="DO461" s="15"/>
      <c r="DP461" s="15"/>
      <c r="DQ461" s="15"/>
      <c r="DR461" s="15"/>
      <c r="DS461" s="15"/>
      <c r="DT461" s="15"/>
      <c r="DU461" s="15"/>
      <c r="DV461" s="15"/>
      <c r="DW461" s="15"/>
      <c r="DX461" s="15"/>
      <c r="DY461" s="15"/>
      <c r="DZ461" s="15"/>
      <c r="EA461" s="15"/>
      <c r="EB461" s="15"/>
      <c r="EC461" s="15"/>
      <c r="ED461" s="15"/>
      <c r="EE461" s="15"/>
      <c r="EF461" s="15"/>
      <c r="EG461" s="15"/>
      <c r="EH461" s="15"/>
      <c r="EI461" s="15"/>
      <c r="EJ461" s="15"/>
      <c r="EK461" s="15"/>
      <c r="EL461" s="15"/>
      <c r="EM461" s="15"/>
      <c r="EN461" s="15"/>
      <c r="EO461" s="15"/>
      <c r="EP461" s="15"/>
      <c r="EQ461" s="15"/>
      <c r="ER461" s="15"/>
      <c r="ES461" s="15"/>
      <c r="ET461" s="15"/>
      <c r="EU461" s="15"/>
      <c r="EV461" s="15"/>
      <c r="EW461" s="15"/>
      <c r="EX461" s="15"/>
      <c r="EY461" s="15"/>
      <c r="EZ461" s="15"/>
      <c r="FA461" s="15"/>
      <c r="FB461" s="15"/>
      <c r="FC461" s="15"/>
      <c r="FD461" s="15"/>
      <c r="FE461" s="15"/>
      <c r="FF461" s="15"/>
      <c r="FG461" s="15"/>
      <c r="FH461" s="15"/>
      <c r="FI461" s="15"/>
      <c r="FJ461" s="15"/>
      <c r="FK461" s="15"/>
      <c r="FL461" s="15"/>
      <c r="FM461" s="15"/>
      <c r="FN461" s="15"/>
      <c r="FO461" s="15"/>
      <c r="FP461" s="15"/>
      <c r="FQ461" s="15"/>
      <c r="FR461" s="15"/>
      <c r="FS461" s="15"/>
      <c r="FT461" s="15"/>
      <c r="FU461" s="15"/>
      <c r="FV461" s="15"/>
    </row>
    <row r="462" spans="22:178" s="2" customFormat="1">
      <c r="V462" s="15"/>
      <c r="DK462" s="15"/>
      <c r="DL462" s="15"/>
      <c r="DM462" s="15"/>
      <c r="DN462" s="15"/>
      <c r="DO462" s="15"/>
      <c r="DP462" s="15"/>
      <c r="DQ462" s="15"/>
      <c r="DR462" s="15"/>
      <c r="DS462" s="15"/>
      <c r="DT462" s="15"/>
      <c r="DU462" s="15"/>
      <c r="DV462" s="15"/>
      <c r="DW462" s="15"/>
      <c r="DX462" s="15"/>
      <c r="DY462" s="15"/>
      <c r="DZ462" s="15"/>
      <c r="EA462" s="15"/>
      <c r="EB462" s="15"/>
      <c r="EC462" s="15"/>
      <c r="ED462" s="15"/>
      <c r="EE462" s="15"/>
      <c r="EF462" s="15"/>
      <c r="EG462" s="15"/>
      <c r="EH462" s="15"/>
      <c r="EI462" s="15"/>
      <c r="EJ462" s="15"/>
      <c r="EK462" s="15"/>
      <c r="EL462" s="15"/>
      <c r="EM462" s="15"/>
      <c r="EN462" s="15"/>
      <c r="EO462" s="15"/>
      <c r="EP462" s="15"/>
      <c r="EQ462" s="15"/>
      <c r="ER462" s="15"/>
      <c r="ES462" s="15"/>
      <c r="ET462" s="15"/>
      <c r="EU462" s="15"/>
      <c r="EV462" s="15"/>
      <c r="EW462" s="15"/>
      <c r="EX462" s="15"/>
      <c r="EY462" s="15"/>
      <c r="EZ462" s="15"/>
      <c r="FA462" s="15"/>
      <c r="FB462" s="15"/>
      <c r="FC462" s="15"/>
      <c r="FD462" s="15"/>
      <c r="FE462" s="15"/>
      <c r="FF462" s="15"/>
      <c r="FG462" s="15"/>
      <c r="FH462" s="15"/>
      <c r="FI462" s="15"/>
      <c r="FJ462" s="15"/>
      <c r="FK462" s="15"/>
      <c r="FL462" s="15"/>
      <c r="FM462" s="15"/>
      <c r="FN462" s="15"/>
      <c r="FO462" s="15"/>
      <c r="FP462" s="15"/>
      <c r="FQ462" s="15"/>
      <c r="FR462" s="15"/>
      <c r="FS462" s="15"/>
      <c r="FT462" s="15"/>
      <c r="FU462" s="15"/>
      <c r="FV462" s="15"/>
    </row>
    <row r="463" spans="22:178" s="2" customFormat="1">
      <c r="V463" s="15"/>
      <c r="DK463" s="15"/>
      <c r="DL463" s="15"/>
      <c r="DM463" s="15"/>
      <c r="DN463" s="15"/>
      <c r="DO463" s="15"/>
      <c r="DP463" s="15"/>
      <c r="DQ463" s="15"/>
      <c r="DR463" s="15"/>
      <c r="DS463" s="15"/>
      <c r="DT463" s="15"/>
      <c r="DU463" s="15"/>
      <c r="DV463" s="15"/>
      <c r="DW463" s="15"/>
      <c r="DX463" s="15"/>
      <c r="DY463" s="15"/>
      <c r="DZ463" s="15"/>
      <c r="EA463" s="15"/>
      <c r="EB463" s="15"/>
      <c r="EC463" s="15"/>
      <c r="ED463" s="15"/>
      <c r="EE463" s="15"/>
      <c r="EF463" s="15"/>
      <c r="EG463" s="15"/>
      <c r="EH463" s="15"/>
      <c r="EI463" s="15"/>
      <c r="EJ463" s="15"/>
      <c r="EK463" s="15"/>
      <c r="EL463" s="15"/>
      <c r="EM463" s="15"/>
      <c r="EN463" s="15"/>
      <c r="EO463" s="15"/>
      <c r="EP463" s="15"/>
      <c r="EQ463" s="15"/>
      <c r="ER463" s="15"/>
      <c r="ES463" s="15"/>
      <c r="ET463" s="15"/>
      <c r="EU463" s="15"/>
      <c r="EV463" s="15"/>
      <c r="EW463" s="15"/>
      <c r="EX463" s="15"/>
      <c r="EY463" s="15"/>
      <c r="EZ463" s="15"/>
      <c r="FA463" s="15"/>
      <c r="FB463" s="15"/>
      <c r="FC463" s="15"/>
      <c r="FD463" s="15"/>
      <c r="FE463" s="15"/>
      <c r="FF463" s="15"/>
      <c r="FG463" s="15"/>
      <c r="FH463" s="15"/>
      <c r="FI463" s="15"/>
      <c r="FJ463" s="15"/>
      <c r="FK463" s="15"/>
      <c r="FL463" s="15"/>
      <c r="FM463" s="15"/>
      <c r="FN463" s="15"/>
      <c r="FO463" s="15"/>
      <c r="FP463" s="15"/>
      <c r="FQ463" s="15"/>
      <c r="FR463" s="15"/>
      <c r="FS463" s="15"/>
      <c r="FT463" s="15"/>
      <c r="FU463" s="15"/>
      <c r="FV463" s="15"/>
    </row>
    <row r="464" spans="22:178" s="2" customFormat="1">
      <c r="V464" s="15"/>
      <c r="DK464" s="15"/>
      <c r="DL464" s="15"/>
      <c r="DM464" s="15"/>
      <c r="DN464" s="15"/>
      <c r="DO464" s="15"/>
      <c r="DP464" s="15"/>
      <c r="DQ464" s="15"/>
      <c r="DR464" s="15"/>
      <c r="DS464" s="15"/>
      <c r="DT464" s="15"/>
      <c r="DU464" s="15"/>
      <c r="DV464" s="15"/>
      <c r="DW464" s="15"/>
      <c r="DX464" s="15"/>
      <c r="DY464" s="15"/>
      <c r="DZ464" s="15"/>
      <c r="EA464" s="15"/>
      <c r="EB464" s="15"/>
      <c r="EC464" s="15"/>
      <c r="ED464" s="15"/>
      <c r="EE464" s="15"/>
      <c r="EF464" s="15"/>
      <c r="EG464" s="15"/>
      <c r="EH464" s="15"/>
      <c r="EI464" s="15"/>
      <c r="EJ464" s="15"/>
      <c r="EK464" s="15"/>
      <c r="EL464" s="15"/>
      <c r="EM464" s="15"/>
      <c r="EN464" s="15"/>
      <c r="EO464" s="15"/>
      <c r="EP464" s="15"/>
      <c r="EQ464" s="15"/>
      <c r="ER464" s="15"/>
      <c r="ES464" s="15"/>
      <c r="ET464" s="15"/>
      <c r="EU464" s="15"/>
      <c r="EV464" s="15"/>
      <c r="EW464" s="15"/>
      <c r="EX464" s="15"/>
      <c r="EY464" s="15"/>
      <c r="EZ464" s="15"/>
      <c r="FA464" s="15"/>
      <c r="FB464" s="15"/>
      <c r="FC464" s="15"/>
      <c r="FD464" s="15"/>
      <c r="FE464" s="15"/>
      <c r="FF464" s="15"/>
      <c r="FG464" s="15"/>
      <c r="FH464" s="15"/>
      <c r="FI464" s="15"/>
      <c r="FJ464" s="15"/>
      <c r="FK464" s="15"/>
      <c r="FL464" s="15"/>
      <c r="FM464" s="15"/>
      <c r="FN464" s="15"/>
      <c r="FO464" s="15"/>
      <c r="FP464" s="15"/>
      <c r="FQ464" s="15"/>
      <c r="FR464" s="15"/>
      <c r="FS464" s="15"/>
      <c r="FT464" s="15"/>
      <c r="FU464" s="15"/>
      <c r="FV464" s="15"/>
    </row>
    <row r="465" spans="22:178" s="2" customFormat="1">
      <c r="V465" s="15"/>
      <c r="DK465" s="15"/>
      <c r="DL465" s="15"/>
      <c r="DM465" s="15"/>
      <c r="DN465" s="15"/>
      <c r="DO465" s="15"/>
      <c r="DP465" s="15"/>
      <c r="DQ465" s="15"/>
      <c r="DR465" s="15"/>
      <c r="DS465" s="15"/>
      <c r="DT465" s="15"/>
      <c r="DU465" s="15"/>
      <c r="DV465" s="15"/>
      <c r="DW465" s="15"/>
      <c r="DX465" s="15"/>
      <c r="DY465" s="15"/>
      <c r="DZ465" s="15"/>
      <c r="EA465" s="15"/>
      <c r="EB465" s="15"/>
      <c r="EC465" s="15"/>
      <c r="ED465" s="15"/>
      <c r="EE465" s="15"/>
      <c r="EF465" s="15"/>
      <c r="EG465" s="15"/>
      <c r="EH465" s="15"/>
      <c r="EI465" s="15"/>
      <c r="EJ465" s="15"/>
      <c r="EK465" s="15"/>
      <c r="EL465" s="15"/>
      <c r="EM465" s="15"/>
      <c r="EN465" s="15"/>
      <c r="EO465" s="15"/>
      <c r="EP465" s="15"/>
      <c r="EQ465" s="15"/>
      <c r="ER465" s="15"/>
      <c r="ES465" s="15"/>
      <c r="ET465" s="15"/>
      <c r="EU465" s="15"/>
      <c r="EV465" s="15"/>
      <c r="EW465" s="15"/>
      <c r="EX465" s="15"/>
      <c r="EY465" s="15"/>
      <c r="EZ465" s="15"/>
      <c r="FA465" s="15"/>
      <c r="FB465" s="15"/>
      <c r="FC465" s="15"/>
      <c r="FD465" s="15"/>
      <c r="FE465" s="15"/>
      <c r="FF465" s="15"/>
      <c r="FG465" s="15"/>
      <c r="FH465" s="15"/>
      <c r="FI465" s="15"/>
      <c r="FJ465" s="15"/>
      <c r="FK465" s="15"/>
      <c r="FL465" s="15"/>
      <c r="FM465" s="15"/>
      <c r="FN465" s="15"/>
      <c r="FO465" s="15"/>
      <c r="FP465" s="15"/>
      <c r="FQ465" s="15"/>
      <c r="FR465" s="15"/>
      <c r="FS465" s="15"/>
      <c r="FT465" s="15"/>
      <c r="FU465" s="15"/>
      <c r="FV465" s="15"/>
    </row>
    <row r="466" spans="22:178" s="2" customFormat="1">
      <c r="V466" s="15"/>
      <c r="DK466" s="15"/>
      <c r="DL466" s="15"/>
      <c r="DM466" s="15"/>
      <c r="DN466" s="15"/>
      <c r="DO466" s="15"/>
      <c r="DP466" s="15"/>
      <c r="DQ466" s="15"/>
      <c r="DR466" s="15"/>
      <c r="DS466" s="15"/>
      <c r="DT466" s="15"/>
      <c r="DU466" s="15"/>
      <c r="DV466" s="15"/>
      <c r="DW466" s="15"/>
      <c r="DX466" s="15"/>
      <c r="DY466" s="15"/>
      <c r="DZ466" s="15"/>
      <c r="EA466" s="15"/>
      <c r="EB466" s="15"/>
      <c r="EC466" s="15"/>
      <c r="ED466" s="15"/>
      <c r="EE466" s="15"/>
      <c r="EF466" s="15"/>
      <c r="EG466" s="15"/>
      <c r="EH466" s="15"/>
      <c r="EI466" s="15"/>
      <c r="EJ466" s="15"/>
      <c r="EK466" s="15"/>
      <c r="EL466" s="15"/>
      <c r="EM466" s="15"/>
      <c r="EN466" s="15"/>
      <c r="EO466" s="15"/>
      <c r="EP466" s="15"/>
      <c r="EQ466" s="15"/>
      <c r="ER466" s="15"/>
      <c r="ES466" s="15"/>
      <c r="ET466" s="15"/>
      <c r="EU466" s="15"/>
      <c r="EV466" s="15"/>
      <c r="EW466" s="15"/>
      <c r="EX466" s="15"/>
      <c r="EY466" s="15"/>
      <c r="EZ466" s="15"/>
      <c r="FA466" s="15"/>
      <c r="FB466" s="15"/>
      <c r="FC466" s="15"/>
      <c r="FD466" s="15"/>
      <c r="FE466" s="15"/>
      <c r="FF466" s="15"/>
      <c r="FG466" s="15"/>
      <c r="FH466" s="15"/>
      <c r="FI466" s="15"/>
      <c r="FJ466" s="15"/>
      <c r="FK466" s="15"/>
      <c r="FL466" s="15"/>
      <c r="FM466" s="15"/>
      <c r="FN466" s="15"/>
      <c r="FO466" s="15"/>
      <c r="FP466" s="15"/>
      <c r="FQ466" s="15"/>
      <c r="FR466" s="15"/>
      <c r="FS466" s="15"/>
      <c r="FT466" s="15"/>
      <c r="FU466" s="15"/>
      <c r="FV466" s="15"/>
    </row>
    <row r="467" spans="22:178" s="2" customFormat="1">
      <c r="V467" s="15"/>
      <c r="DK467" s="15"/>
      <c r="DL467" s="15"/>
      <c r="DM467" s="15"/>
      <c r="DN467" s="15"/>
      <c r="DO467" s="15"/>
      <c r="DP467" s="15"/>
      <c r="DQ467" s="15"/>
      <c r="DR467" s="15"/>
      <c r="DS467" s="15"/>
      <c r="DT467" s="15"/>
      <c r="DU467" s="15"/>
      <c r="DV467" s="15"/>
      <c r="DW467" s="15"/>
      <c r="DX467" s="15"/>
      <c r="DY467" s="15"/>
      <c r="DZ467" s="15"/>
      <c r="EA467" s="15"/>
      <c r="EB467" s="15"/>
      <c r="EC467" s="15"/>
      <c r="ED467" s="15"/>
      <c r="EE467" s="15"/>
      <c r="EF467" s="15"/>
      <c r="EG467" s="15"/>
      <c r="EH467" s="15"/>
      <c r="EI467" s="15"/>
      <c r="EJ467" s="15"/>
      <c r="EK467" s="15"/>
      <c r="EL467" s="15"/>
      <c r="EM467" s="15"/>
      <c r="EN467" s="15"/>
      <c r="EO467" s="15"/>
      <c r="EP467" s="15"/>
      <c r="EQ467" s="15"/>
      <c r="ER467" s="15"/>
      <c r="ES467" s="15"/>
      <c r="ET467" s="15"/>
      <c r="EU467" s="15"/>
      <c r="EV467" s="15"/>
      <c r="EW467" s="15"/>
      <c r="EX467" s="15"/>
      <c r="EY467" s="15"/>
      <c r="EZ467" s="15"/>
      <c r="FA467" s="15"/>
      <c r="FB467" s="15"/>
      <c r="FC467" s="15"/>
      <c r="FD467" s="15"/>
      <c r="FE467" s="15"/>
      <c r="FF467" s="15"/>
      <c r="FG467" s="15"/>
      <c r="FH467" s="15"/>
      <c r="FI467" s="15"/>
      <c r="FJ467" s="15"/>
      <c r="FK467" s="15"/>
      <c r="FL467" s="15"/>
      <c r="FM467" s="15"/>
      <c r="FN467" s="15"/>
      <c r="FO467" s="15"/>
      <c r="FP467" s="15"/>
      <c r="FQ467" s="15"/>
      <c r="FR467" s="15"/>
      <c r="FS467" s="15"/>
      <c r="FT467" s="15"/>
      <c r="FU467" s="15"/>
      <c r="FV467" s="15"/>
    </row>
    <row r="468" spans="22:178" s="2" customFormat="1">
      <c r="V468" s="15"/>
      <c r="DK468" s="15"/>
      <c r="DL468" s="15"/>
      <c r="DM468" s="15"/>
      <c r="DN468" s="15"/>
      <c r="DO468" s="15"/>
      <c r="DP468" s="15"/>
      <c r="DQ468" s="15"/>
      <c r="DR468" s="15"/>
      <c r="DS468" s="15"/>
      <c r="DT468" s="15"/>
      <c r="DU468" s="15"/>
      <c r="DV468" s="15"/>
      <c r="DW468" s="15"/>
      <c r="DX468" s="15"/>
      <c r="DY468" s="15"/>
      <c r="DZ468" s="15"/>
      <c r="EA468" s="15"/>
      <c r="EB468" s="15"/>
      <c r="EC468" s="15"/>
      <c r="ED468" s="15"/>
      <c r="EE468" s="15"/>
      <c r="EF468" s="15"/>
      <c r="EG468" s="15"/>
      <c r="EH468" s="15"/>
      <c r="EI468" s="15"/>
      <c r="EJ468" s="15"/>
      <c r="EK468" s="15"/>
      <c r="EL468" s="15"/>
      <c r="EM468" s="15"/>
      <c r="EN468" s="15"/>
      <c r="EO468" s="15"/>
      <c r="EP468" s="15"/>
      <c r="EQ468" s="15"/>
      <c r="ER468" s="15"/>
      <c r="ES468" s="15"/>
      <c r="ET468" s="15"/>
      <c r="EU468" s="15"/>
      <c r="EV468" s="15"/>
      <c r="EW468" s="15"/>
      <c r="EX468" s="15"/>
      <c r="EY468" s="15"/>
      <c r="EZ468" s="15"/>
      <c r="FA468" s="15"/>
      <c r="FB468" s="15"/>
      <c r="FC468" s="15"/>
      <c r="FD468" s="15"/>
      <c r="FE468" s="15"/>
      <c r="FF468" s="15"/>
      <c r="FG468" s="15"/>
      <c r="FH468" s="15"/>
      <c r="FI468" s="15"/>
      <c r="FJ468" s="15"/>
      <c r="FK468" s="15"/>
      <c r="FL468" s="15"/>
      <c r="FM468" s="15"/>
      <c r="FN468" s="15"/>
      <c r="FO468" s="15"/>
      <c r="FP468" s="15"/>
      <c r="FQ468" s="15"/>
      <c r="FR468" s="15"/>
      <c r="FS468" s="15"/>
      <c r="FT468" s="15"/>
      <c r="FU468" s="15"/>
      <c r="FV468" s="15"/>
    </row>
    <row r="469" spans="22:178" s="2" customFormat="1">
      <c r="V469" s="15"/>
      <c r="DK469" s="15"/>
      <c r="DL469" s="15"/>
      <c r="DM469" s="15"/>
      <c r="DN469" s="15"/>
      <c r="DO469" s="15"/>
      <c r="DP469" s="15"/>
      <c r="DQ469" s="15"/>
      <c r="DR469" s="15"/>
      <c r="DS469" s="15"/>
      <c r="DT469" s="15"/>
      <c r="DU469" s="15"/>
      <c r="DV469" s="15"/>
      <c r="DW469" s="15"/>
      <c r="DX469" s="15"/>
      <c r="DY469" s="15"/>
      <c r="DZ469" s="15"/>
      <c r="EA469" s="15"/>
      <c r="EB469" s="15"/>
      <c r="EC469" s="15"/>
      <c r="ED469" s="15"/>
      <c r="EE469" s="15"/>
      <c r="EF469" s="15"/>
      <c r="EG469" s="15"/>
      <c r="EH469" s="15"/>
      <c r="EI469" s="15"/>
      <c r="EJ469" s="15"/>
      <c r="EK469" s="15"/>
      <c r="EL469" s="15"/>
      <c r="EM469" s="15"/>
      <c r="EN469" s="15"/>
      <c r="EO469" s="15"/>
      <c r="EP469" s="15"/>
      <c r="EQ469" s="15"/>
      <c r="ER469" s="15"/>
      <c r="ES469" s="15"/>
      <c r="ET469" s="15"/>
      <c r="EU469" s="15"/>
      <c r="EV469" s="15"/>
      <c r="EW469" s="15"/>
      <c r="EX469" s="15"/>
      <c r="EY469" s="15"/>
      <c r="EZ469" s="15"/>
      <c r="FA469" s="15"/>
      <c r="FB469" s="15"/>
      <c r="FC469" s="15"/>
      <c r="FD469" s="15"/>
      <c r="FE469" s="15"/>
      <c r="FF469" s="15"/>
      <c r="FG469" s="15"/>
      <c r="FH469" s="15"/>
      <c r="FI469" s="15"/>
      <c r="FJ469" s="15"/>
      <c r="FK469" s="15"/>
      <c r="FL469" s="15"/>
      <c r="FM469" s="15"/>
      <c r="FN469" s="15"/>
      <c r="FO469" s="15"/>
      <c r="FP469" s="15"/>
      <c r="FQ469" s="15"/>
      <c r="FR469" s="15"/>
      <c r="FS469" s="15"/>
      <c r="FT469" s="15"/>
      <c r="FU469" s="15"/>
      <c r="FV469" s="15"/>
    </row>
    <row r="470" spans="22:178" s="2" customFormat="1">
      <c r="V470" s="15"/>
      <c r="DK470" s="15"/>
      <c r="DL470" s="15"/>
      <c r="DM470" s="15"/>
      <c r="DN470" s="15"/>
      <c r="DO470" s="15"/>
      <c r="DP470" s="15"/>
      <c r="DQ470" s="15"/>
      <c r="DR470" s="15"/>
      <c r="DS470" s="15"/>
      <c r="DT470" s="15"/>
      <c r="DU470" s="15"/>
      <c r="DV470" s="15"/>
      <c r="DW470" s="15"/>
      <c r="DX470" s="15"/>
      <c r="DY470" s="15"/>
      <c r="DZ470" s="15"/>
      <c r="EA470" s="15"/>
      <c r="EB470" s="15"/>
      <c r="EC470" s="15"/>
      <c r="ED470" s="15"/>
      <c r="EE470" s="15"/>
      <c r="EF470" s="15"/>
      <c r="EG470" s="15"/>
      <c r="EH470" s="15"/>
      <c r="EI470" s="15"/>
      <c r="EJ470" s="15"/>
      <c r="EK470" s="15"/>
      <c r="EL470" s="15"/>
      <c r="EM470" s="15"/>
      <c r="EN470" s="15"/>
      <c r="EO470" s="15"/>
      <c r="EP470" s="15"/>
      <c r="EQ470" s="15"/>
      <c r="ER470" s="15"/>
      <c r="ES470" s="15"/>
      <c r="ET470" s="15"/>
      <c r="EU470" s="15"/>
      <c r="EV470" s="15"/>
      <c r="EW470" s="15"/>
      <c r="EX470" s="15"/>
      <c r="EY470" s="15"/>
      <c r="EZ470" s="15"/>
      <c r="FA470" s="15"/>
      <c r="FB470" s="15"/>
      <c r="FC470" s="15"/>
      <c r="FD470" s="15"/>
      <c r="FE470" s="15"/>
      <c r="FF470" s="15"/>
      <c r="FG470" s="15"/>
      <c r="FH470" s="15"/>
      <c r="FI470" s="15"/>
      <c r="FJ470" s="15"/>
      <c r="FK470" s="15"/>
      <c r="FL470" s="15"/>
      <c r="FM470" s="15"/>
      <c r="FN470" s="15"/>
      <c r="FO470" s="15"/>
      <c r="FP470" s="15"/>
      <c r="FQ470" s="15"/>
      <c r="FR470" s="15"/>
      <c r="FS470" s="15"/>
      <c r="FT470" s="15"/>
      <c r="FU470" s="15"/>
      <c r="FV470" s="15"/>
    </row>
    <row r="471" spans="22:178" s="2" customFormat="1">
      <c r="V471" s="15"/>
      <c r="DK471" s="15"/>
      <c r="DL471" s="15"/>
      <c r="DM471" s="15"/>
      <c r="DN471" s="15"/>
      <c r="DO471" s="15"/>
      <c r="DP471" s="15"/>
      <c r="DQ471" s="15"/>
      <c r="DR471" s="15"/>
      <c r="DS471" s="15"/>
      <c r="DT471" s="15"/>
      <c r="DU471" s="15"/>
      <c r="DV471" s="15"/>
      <c r="DW471" s="15"/>
      <c r="DX471" s="15"/>
      <c r="DY471" s="15"/>
      <c r="DZ471" s="15"/>
      <c r="EA471" s="15"/>
      <c r="EB471" s="15"/>
      <c r="EC471" s="15"/>
      <c r="ED471" s="15"/>
      <c r="EE471" s="15"/>
      <c r="EF471" s="15"/>
      <c r="EG471" s="15"/>
      <c r="EH471" s="15"/>
      <c r="EI471" s="15"/>
      <c r="EJ471" s="15"/>
      <c r="EK471" s="15"/>
      <c r="EL471" s="15"/>
      <c r="EM471" s="15"/>
      <c r="EN471" s="15"/>
      <c r="EO471" s="15"/>
      <c r="EP471" s="15"/>
      <c r="EQ471" s="15"/>
      <c r="ER471" s="15"/>
      <c r="ES471" s="15"/>
      <c r="ET471" s="15"/>
      <c r="EU471" s="15"/>
      <c r="EV471" s="15"/>
      <c r="EW471" s="15"/>
      <c r="EX471" s="15"/>
      <c r="EY471" s="15"/>
      <c r="EZ471" s="15"/>
      <c r="FA471" s="15"/>
      <c r="FB471" s="15"/>
      <c r="FC471" s="15"/>
      <c r="FD471" s="15"/>
      <c r="FE471" s="15"/>
      <c r="FF471" s="15"/>
      <c r="FG471" s="15"/>
      <c r="FH471" s="15"/>
      <c r="FI471" s="15"/>
      <c r="FJ471" s="15"/>
      <c r="FK471" s="15"/>
      <c r="FL471" s="15"/>
      <c r="FM471" s="15"/>
      <c r="FN471" s="15"/>
      <c r="FO471" s="15"/>
      <c r="FP471" s="15"/>
      <c r="FQ471" s="15"/>
      <c r="FR471" s="15"/>
      <c r="FS471" s="15"/>
      <c r="FT471" s="15"/>
      <c r="FU471" s="15"/>
      <c r="FV471" s="15"/>
    </row>
    <row r="472" spans="22:178" s="2" customFormat="1">
      <c r="V472" s="15"/>
      <c r="DK472" s="15"/>
      <c r="DL472" s="15"/>
      <c r="DM472" s="15"/>
      <c r="DN472" s="15"/>
      <c r="DO472" s="15"/>
      <c r="DP472" s="15"/>
      <c r="DQ472" s="15"/>
      <c r="DR472" s="15"/>
      <c r="DS472" s="15"/>
      <c r="DT472" s="15"/>
      <c r="DU472" s="15"/>
      <c r="DV472" s="15"/>
      <c r="DW472" s="15"/>
      <c r="DX472" s="15"/>
      <c r="DY472" s="15"/>
      <c r="DZ472" s="15"/>
      <c r="EA472" s="15"/>
      <c r="EB472" s="15"/>
      <c r="EC472" s="15"/>
      <c r="ED472" s="15"/>
      <c r="EE472" s="15"/>
      <c r="EF472" s="15"/>
      <c r="EG472" s="15"/>
      <c r="EH472" s="15"/>
      <c r="EI472" s="15"/>
      <c r="EJ472" s="15"/>
      <c r="EK472" s="15"/>
      <c r="EL472" s="15"/>
      <c r="EM472" s="15"/>
      <c r="EN472" s="15"/>
      <c r="EO472" s="15"/>
      <c r="EP472" s="15"/>
      <c r="EQ472" s="15"/>
      <c r="ER472" s="15"/>
      <c r="ES472" s="15"/>
      <c r="ET472" s="15"/>
      <c r="EU472" s="15"/>
      <c r="EV472" s="15"/>
      <c r="EW472" s="15"/>
      <c r="EX472" s="15"/>
      <c r="EY472" s="15"/>
      <c r="EZ472" s="15"/>
      <c r="FA472" s="15"/>
      <c r="FB472" s="15"/>
      <c r="FC472" s="15"/>
      <c r="FD472" s="15"/>
      <c r="FE472" s="15"/>
      <c r="FF472" s="15"/>
      <c r="FG472" s="15"/>
      <c r="FH472" s="15"/>
      <c r="FI472" s="15"/>
      <c r="FJ472" s="15"/>
      <c r="FK472" s="15"/>
      <c r="FL472" s="15"/>
      <c r="FM472" s="15"/>
      <c r="FN472" s="15"/>
      <c r="FO472" s="15"/>
      <c r="FP472" s="15"/>
      <c r="FQ472" s="15"/>
      <c r="FR472" s="15"/>
      <c r="FS472" s="15"/>
      <c r="FT472" s="15"/>
      <c r="FU472" s="15"/>
      <c r="FV472" s="15"/>
    </row>
    <row r="473" spans="22:178" s="2" customFormat="1">
      <c r="V473" s="15"/>
      <c r="DK473" s="15"/>
      <c r="DL473" s="15"/>
      <c r="DM473" s="15"/>
      <c r="DN473" s="15"/>
      <c r="DO473" s="15"/>
      <c r="DP473" s="15"/>
      <c r="DQ473" s="15"/>
      <c r="DR473" s="15"/>
      <c r="DS473" s="15"/>
      <c r="DT473" s="15"/>
      <c r="DU473" s="15"/>
      <c r="DV473" s="15"/>
      <c r="DW473" s="15"/>
      <c r="DX473" s="15"/>
      <c r="DY473" s="15"/>
      <c r="DZ473" s="15"/>
      <c r="EA473" s="15"/>
      <c r="EB473" s="15"/>
      <c r="EC473" s="15"/>
      <c r="ED473" s="15"/>
      <c r="EE473" s="15"/>
      <c r="EF473" s="15"/>
      <c r="EG473" s="15"/>
      <c r="EH473" s="15"/>
      <c r="EI473" s="15"/>
      <c r="EJ473" s="15"/>
      <c r="EK473" s="15"/>
      <c r="EL473" s="15"/>
      <c r="EM473" s="15"/>
      <c r="EN473" s="15"/>
      <c r="EO473" s="15"/>
      <c r="EP473" s="15"/>
      <c r="EQ473" s="15"/>
      <c r="ER473" s="15"/>
      <c r="ES473" s="15"/>
      <c r="ET473" s="15"/>
      <c r="EU473" s="15"/>
      <c r="EV473" s="15"/>
      <c r="EW473" s="15"/>
      <c r="EX473" s="15"/>
      <c r="EY473" s="15"/>
      <c r="EZ473" s="15"/>
      <c r="FA473" s="15"/>
      <c r="FB473" s="15"/>
      <c r="FC473" s="15"/>
      <c r="FD473" s="15"/>
      <c r="FE473" s="15"/>
      <c r="FF473" s="15"/>
      <c r="FG473" s="15"/>
      <c r="FH473" s="15"/>
      <c r="FI473" s="15"/>
      <c r="FJ473" s="15"/>
      <c r="FK473" s="15"/>
      <c r="FL473" s="15"/>
      <c r="FM473" s="15"/>
      <c r="FN473" s="15"/>
      <c r="FO473" s="15"/>
      <c r="FP473" s="15"/>
      <c r="FQ473" s="15"/>
      <c r="FR473" s="15"/>
      <c r="FS473" s="15"/>
      <c r="FT473" s="15"/>
      <c r="FU473" s="15"/>
      <c r="FV473" s="15"/>
    </row>
    <row r="474" spans="22:178" s="2" customFormat="1">
      <c r="V474" s="15"/>
      <c r="DK474" s="15"/>
      <c r="DL474" s="15"/>
      <c r="DM474" s="15"/>
      <c r="DN474" s="15"/>
      <c r="DO474" s="15"/>
      <c r="DP474" s="15"/>
      <c r="DQ474" s="15"/>
      <c r="DR474" s="15"/>
      <c r="DS474" s="15"/>
      <c r="DT474" s="15"/>
      <c r="DU474" s="15"/>
      <c r="DV474" s="15"/>
      <c r="DW474" s="15"/>
      <c r="DX474" s="15"/>
      <c r="DY474" s="15"/>
      <c r="DZ474" s="15"/>
      <c r="EA474" s="15"/>
      <c r="EB474" s="15"/>
      <c r="EC474" s="15"/>
      <c r="ED474" s="15"/>
      <c r="EE474" s="15"/>
      <c r="EF474" s="15"/>
      <c r="EG474" s="15"/>
      <c r="EH474" s="15"/>
      <c r="EI474" s="15"/>
      <c r="EJ474" s="15"/>
      <c r="EK474" s="15"/>
      <c r="EL474" s="15"/>
      <c r="EM474" s="15"/>
      <c r="EN474" s="15"/>
      <c r="EO474" s="15"/>
      <c r="EP474" s="15"/>
      <c r="EQ474" s="15"/>
      <c r="ER474" s="15"/>
      <c r="ES474" s="15"/>
      <c r="ET474" s="15"/>
      <c r="EU474" s="15"/>
      <c r="EV474" s="15"/>
      <c r="EW474" s="15"/>
      <c r="EX474" s="15"/>
      <c r="EY474" s="15"/>
      <c r="EZ474" s="15"/>
      <c r="FA474" s="15"/>
      <c r="FB474" s="15"/>
      <c r="FC474" s="15"/>
      <c r="FD474" s="15"/>
      <c r="FE474" s="15"/>
      <c r="FF474" s="15"/>
      <c r="FG474" s="15"/>
      <c r="FH474" s="15"/>
      <c r="FI474" s="15"/>
      <c r="FJ474" s="15"/>
      <c r="FK474" s="15"/>
      <c r="FL474" s="15"/>
      <c r="FM474" s="15"/>
      <c r="FN474" s="15"/>
      <c r="FO474" s="15"/>
      <c r="FP474" s="15"/>
      <c r="FQ474" s="15"/>
      <c r="FR474" s="15"/>
      <c r="FS474" s="15"/>
      <c r="FT474" s="15"/>
      <c r="FU474" s="15"/>
      <c r="FV474" s="15"/>
    </row>
    <row r="475" spans="22:178" s="2" customFormat="1">
      <c r="V475" s="15"/>
      <c r="DK475" s="15"/>
      <c r="DL475" s="15"/>
      <c r="DM475" s="15"/>
      <c r="DN475" s="15"/>
      <c r="DO475" s="15"/>
      <c r="DP475" s="15"/>
      <c r="DQ475" s="15"/>
      <c r="DR475" s="15"/>
      <c r="DS475" s="15"/>
      <c r="DT475" s="15"/>
      <c r="DU475" s="15"/>
      <c r="DV475" s="15"/>
      <c r="DW475" s="15"/>
      <c r="DX475" s="15"/>
      <c r="DY475" s="15"/>
      <c r="DZ475" s="15"/>
      <c r="EA475" s="15"/>
      <c r="EB475" s="15"/>
      <c r="EC475" s="15"/>
      <c r="ED475" s="15"/>
      <c r="EE475" s="15"/>
      <c r="EF475" s="15"/>
      <c r="EG475" s="15"/>
      <c r="EH475" s="15"/>
      <c r="EI475" s="15"/>
      <c r="EJ475" s="15"/>
      <c r="EK475" s="15"/>
      <c r="EL475" s="15"/>
      <c r="EM475" s="15"/>
      <c r="EN475" s="15"/>
      <c r="EO475" s="15"/>
      <c r="EP475" s="15"/>
      <c r="EQ475" s="15"/>
      <c r="ER475" s="15"/>
      <c r="ES475" s="15"/>
      <c r="ET475" s="15"/>
      <c r="EU475" s="15"/>
      <c r="EV475" s="15"/>
      <c r="EW475" s="15"/>
      <c r="EX475" s="15"/>
      <c r="EY475" s="15"/>
      <c r="EZ475" s="15"/>
      <c r="FA475" s="15"/>
      <c r="FB475" s="15"/>
      <c r="FC475" s="15"/>
      <c r="FD475" s="15"/>
      <c r="FE475" s="15"/>
      <c r="FF475" s="15"/>
      <c r="FG475" s="15"/>
      <c r="FH475" s="15"/>
      <c r="FI475" s="15"/>
      <c r="FJ475" s="15"/>
      <c r="FK475" s="15"/>
      <c r="FL475" s="15"/>
      <c r="FM475" s="15"/>
      <c r="FN475" s="15"/>
      <c r="FO475" s="15"/>
      <c r="FP475" s="15"/>
      <c r="FQ475" s="15"/>
      <c r="FR475" s="15"/>
      <c r="FS475" s="15"/>
      <c r="FT475" s="15"/>
      <c r="FU475" s="15"/>
      <c r="FV475" s="15"/>
    </row>
    <row r="476" spans="22:178" s="2" customFormat="1">
      <c r="V476" s="15"/>
      <c r="DK476" s="15"/>
      <c r="DL476" s="15"/>
      <c r="DM476" s="15"/>
      <c r="DN476" s="15"/>
      <c r="DO476" s="15"/>
      <c r="DP476" s="15"/>
      <c r="DQ476" s="15"/>
      <c r="DR476" s="15"/>
      <c r="DS476" s="15"/>
      <c r="DT476" s="15"/>
      <c r="DU476" s="15"/>
      <c r="DV476" s="15"/>
      <c r="DW476" s="15"/>
      <c r="DX476" s="15"/>
      <c r="DY476" s="15"/>
      <c r="DZ476" s="15"/>
      <c r="EA476" s="15"/>
      <c r="EB476" s="15"/>
      <c r="EC476" s="15"/>
      <c r="ED476" s="15"/>
      <c r="EE476" s="15"/>
      <c r="EF476" s="15"/>
      <c r="EG476" s="15"/>
      <c r="EH476" s="15"/>
      <c r="EI476" s="15"/>
      <c r="EJ476" s="15"/>
      <c r="EK476" s="15"/>
      <c r="EL476" s="15"/>
      <c r="EM476" s="15"/>
      <c r="EN476" s="15"/>
      <c r="EO476" s="15"/>
      <c r="EP476" s="15"/>
      <c r="EQ476" s="15"/>
      <c r="ER476" s="15"/>
      <c r="ES476" s="15"/>
      <c r="ET476" s="15"/>
      <c r="EU476" s="15"/>
      <c r="EV476" s="15"/>
      <c r="EW476" s="15"/>
      <c r="EX476" s="15"/>
      <c r="EY476" s="15"/>
      <c r="EZ476" s="15"/>
      <c r="FA476" s="15"/>
      <c r="FB476" s="15"/>
      <c r="FC476" s="15"/>
      <c r="FD476" s="15"/>
      <c r="FE476" s="15"/>
      <c r="FF476" s="15"/>
      <c r="FG476" s="15"/>
      <c r="FH476" s="15"/>
      <c r="FI476" s="15"/>
      <c r="FJ476" s="15"/>
      <c r="FK476" s="15"/>
      <c r="FL476" s="15"/>
      <c r="FM476" s="15"/>
      <c r="FN476" s="15"/>
      <c r="FO476" s="15"/>
      <c r="FP476" s="15"/>
      <c r="FQ476" s="15"/>
      <c r="FR476" s="15"/>
      <c r="FS476" s="15"/>
      <c r="FT476" s="15"/>
      <c r="FU476" s="15"/>
      <c r="FV476" s="15"/>
    </row>
    <row r="477" spans="22:178" s="2" customFormat="1">
      <c r="V477" s="15"/>
      <c r="DK477" s="15"/>
      <c r="DL477" s="15"/>
      <c r="DM477" s="15"/>
      <c r="DN477" s="15"/>
      <c r="DO477" s="15"/>
      <c r="DP477" s="15"/>
      <c r="DQ477" s="15"/>
      <c r="DR477" s="15"/>
      <c r="DS477" s="15"/>
      <c r="DT477" s="15"/>
      <c r="DU477" s="15"/>
      <c r="DV477" s="15"/>
      <c r="DW477" s="15"/>
      <c r="DX477" s="15"/>
      <c r="DY477" s="15"/>
      <c r="DZ477" s="15"/>
      <c r="EA477" s="15"/>
      <c r="EB477" s="15"/>
      <c r="EC477" s="15"/>
      <c r="ED477" s="15"/>
      <c r="EE477" s="15"/>
      <c r="EF477" s="15"/>
      <c r="EG477" s="15"/>
      <c r="EH477" s="15"/>
      <c r="EI477" s="15"/>
      <c r="EJ477" s="15"/>
      <c r="EK477" s="15"/>
      <c r="EL477" s="15"/>
      <c r="EM477" s="15"/>
      <c r="EN477" s="15"/>
      <c r="EO477" s="15"/>
      <c r="EP477" s="15"/>
      <c r="EQ477" s="15"/>
      <c r="ER477" s="15"/>
      <c r="ES477" s="15"/>
      <c r="ET477" s="15"/>
      <c r="EU477" s="15"/>
      <c r="EV477" s="15"/>
      <c r="EW477" s="15"/>
      <c r="EX477" s="15"/>
      <c r="EY477" s="15"/>
      <c r="EZ477" s="15"/>
      <c r="FA477" s="15"/>
      <c r="FB477" s="15"/>
      <c r="FC477" s="15"/>
      <c r="FD477" s="15"/>
      <c r="FE477" s="15"/>
      <c r="FF477" s="15"/>
      <c r="FG477" s="15"/>
      <c r="FH477" s="15"/>
      <c r="FI477" s="15"/>
      <c r="FJ477" s="15"/>
      <c r="FK477" s="15"/>
      <c r="FL477" s="15"/>
      <c r="FM477" s="15"/>
      <c r="FN477" s="15"/>
      <c r="FO477" s="15"/>
      <c r="FP477" s="15"/>
      <c r="FQ477" s="15"/>
      <c r="FR477" s="15"/>
      <c r="FS477" s="15"/>
      <c r="FT477" s="15"/>
      <c r="FU477" s="15"/>
      <c r="FV477" s="15"/>
    </row>
    <row r="478" spans="22:178" s="2" customFormat="1">
      <c r="V478" s="15"/>
      <c r="DK478" s="15"/>
      <c r="DL478" s="15"/>
      <c r="DM478" s="15"/>
      <c r="DN478" s="15"/>
      <c r="DO478" s="15"/>
      <c r="DP478" s="15"/>
      <c r="DQ478" s="15"/>
      <c r="DR478" s="15"/>
      <c r="DS478" s="15"/>
      <c r="DT478" s="15"/>
      <c r="DU478" s="15"/>
      <c r="DV478" s="15"/>
      <c r="DW478" s="15"/>
      <c r="DX478" s="15"/>
      <c r="DY478" s="15"/>
      <c r="DZ478" s="15"/>
      <c r="EA478" s="15"/>
      <c r="EB478" s="15"/>
      <c r="EC478" s="15"/>
      <c r="ED478" s="15"/>
      <c r="EE478" s="15"/>
      <c r="EF478" s="15"/>
      <c r="EG478" s="15"/>
      <c r="EH478" s="15"/>
      <c r="EI478" s="15"/>
      <c r="EJ478" s="15"/>
      <c r="EK478" s="15"/>
      <c r="EL478" s="15"/>
      <c r="EM478" s="15"/>
      <c r="EN478" s="15"/>
      <c r="EO478" s="15"/>
      <c r="EP478" s="15"/>
      <c r="EQ478" s="15"/>
      <c r="ER478" s="15"/>
      <c r="ES478" s="15"/>
      <c r="ET478" s="15"/>
      <c r="EU478" s="15"/>
      <c r="EV478" s="15"/>
      <c r="EW478" s="15"/>
      <c r="EX478" s="15"/>
      <c r="EY478" s="15"/>
      <c r="EZ478" s="15"/>
      <c r="FA478" s="15"/>
      <c r="FB478" s="15"/>
      <c r="FC478" s="15"/>
      <c r="FD478" s="15"/>
      <c r="FE478" s="15"/>
      <c r="FF478" s="15"/>
      <c r="FG478" s="15"/>
      <c r="FH478" s="15"/>
      <c r="FI478" s="15"/>
      <c r="FJ478" s="15"/>
      <c r="FK478" s="15"/>
      <c r="FL478" s="15"/>
      <c r="FM478" s="15"/>
      <c r="FN478" s="15"/>
      <c r="FO478" s="15"/>
      <c r="FP478" s="15"/>
      <c r="FQ478" s="15"/>
      <c r="FR478" s="15"/>
      <c r="FS478" s="15"/>
      <c r="FT478" s="15"/>
      <c r="FU478" s="15"/>
      <c r="FV478" s="15"/>
    </row>
    <row r="479" spans="22:178" s="2" customFormat="1">
      <c r="V479" s="15"/>
      <c r="DK479" s="15"/>
      <c r="DL479" s="15"/>
      <c r="DM479" s="15"/>
      <c r="DN479" s="15"/>
      <c r="DO479" s="15"/>
      <c r="DP479" s="15"/>
      <c r="DQ479" s="15"/>
      <c r="DR479" s="15"/>
      <c r="DS479" s="15"/>
      <c r="DT479" s="15"/>
      <c r="DU479" s="15"/>
      <c r="DV479" s="15"/>
      <c r="DW479" s="15"/>
      <c r="DX479" s="15"/>
      <c r="DY479" s="15"/>
      <c r="DZ479" s="15"/>
      <c r="EA479" s="15"/>
      <c r="EB479" s="15"/>
      <c r="EC479" s="15"/>
      <c r="ED479" s="15"/>
      <c r="EE479" s="15"/>
      <c r="EF479" s="15"/>
      <c r="EG479" s="15"/>
      <c r="EH479" s="15"/>
      <c r="EI479" s="15"/>
      <c r="EJ479" s="15"/>
      <c r="EK479" s="15"/>
      <c r="EL479" s="15"/>
      <c r="EM479" s="15"/>
      <c r="EN479" s="15"/>
      <c r="EO479" s="15"/>
      <c r="EP479" s="15"/>
      <c r="EQ479" s="15"/>
      <c r="ER479" s="15"/>
      <c r="ES479" s="15"/>
      <c r="ET479" s="15"/>
      <c r="EU479" s="15"/>
      <c r="EV479" s="15"/>
      <c r="EW479" s="15"/>
      <c r="EX479" s="15"/>
      <c r="EY479" s="15"/>
      <c r="EZ479" s="15"/>
      <c r="FA479" s="15"/>
      <c r="FB479" s="15"/>
      <c r="FC479" s="15"/>
      <c r="FD479" s="15"/>
      <c r="FE479" s="15"/>
      <c r="FF479" s="15"/>
      <c r="FG479" s="15"/>
      <c r="FH479" s="15"/>
      <c r="FI479" s="15"/>
      <c r="FJ479" s="15"/>
      <c r="FK479" s="15"/>
      <c r="FL479" s="15"/>
      <c r="FM479" s="15"/>
      <c r="FN479" s="15"/>
      <c r="FO479" s="15"/>
      <c r="FP479" s="15"/>
      <c r="FQ479" s="15"/>
      <c r="FR479" s="15"/>
      <c r="FS479" s="15"/>
      <c r="FT479" s="15"/>
      <c r="FU479" s="15"/>
      <c r="FV479" s="15"/>
    </row>
    <row r="480" spans="22:178" s="2" customFormat="1">
      <c r="V480" s="15"/>
      <c r="DK480" s="15"/>
      <c r="DL480" s="15"/>
      <c r="DM480" s="15"/>
      <c r="DN480" s="15"/>
      <c r="DO480" s="15"/>
      <c r="DP480" s="15"/>
      <c r="DQ480" s="15"/>
      <c r="DR480" s="15"/>
      <c r="DS480" s="15"/>
      <c r="DT480" s="15"/>
      <c r="DU480" s="15"/>
      <c r="DV480" s="15"/>
      <c r="DW480" s="15"/>
      <c r="DX480" s="15"/>
      <c r="DY480" s="15"/>
      <c r="DZ480" s="15"/>
      <c r="EA480" s="15"/>
      <c r="EB480" s="15"/>
      <c r="EC480" s="15"/>
      <c r="ED480" s="15"/>
      <c r="EE480" s="15"/>
      <c r="EF480" s="15"/>
      <c r="EG480" s="15"/>
      <c r="EH480" s="15"/>
      <c r="EI480" s="15"/>
      <c r="EJ480" s="15"/>
      <c r="EK480" s="15"/>
      <c r="EL480" s="15"/>
      <c r="EM480" s="15"/>
      <c r="EN480" s="15"/>
      <c r="EO480" s="15"/>
      <c r="EP480" s="15"/>
      <c r="EQ480" s="15"/>
      <c r="ER480" s="15"/>
      <c r="ES480" s="15"/>
      <c r="ET480" s="15"/>
      <c r="EU480" s="15"/>
      <c r="EV480" s="15"/>
      <c r="EW480" s="15"/>
      <c r="EX480" s="15"/>
      <c r="EY480" s="15"/>
      <c r="EZ480" s="15"/>
      <c r="FA480" s="15"/>
      <c r="FB480" s="15"/>
      <c r="FC480" s="15"/>
      <c r="FD480" s="15"/>
      <c r="FE480" s="15"/>
      <c r="FF480" s="15"/>
      <c r="FG480" s="15"/>
      <c r="FH480" s="15"/>
      <c r="FI480" s="15"/>
      <c r="FJ480" s="15"/>
      <c r="FK480" s="15"/>
      <c r="FL480" s="15"/>
      <c r="FM480" s="15"/>
      <c r="FN480" s="15"/>
      <c r="FO480" s="15"/>
      <c r="FP480" s="15"/>
      <c r="FQ480" s="15"/>
      <c r="FR480" s="15"/>
      <c r="FS480" s="15"/>
      <c r="FT480" s="15"/>
      <c r="FU480" s="15"/>
      <c r="FV480" s="15"/>
    </row>
    <row r="481" spans="22:22" s="2" customFormat="1">
      <c r="V481" s="15"/>
    </row>
    <row r="482" spans="22:22" s="2" customFormat="1">
      <c r="V482" s="15"/>
    </row>
    <row r="483" spans="22:22" s="2" customFormat="1">
      <c r="V483" s="15"/>
    </row>
    <row r="484" spans="22:22" s="2" customFormat="1">
      <c r="V484" s="15"/>
    </row>
    <row r="485" spans="22:22" s="2" customFormat="1">
      <c r="V485" s="15"/>
    </row>
    <row r="486" spans="22:22" s="2" customFormat="1">
      <c r="V486" s="15"/>
    </row>
    <row r="487" spans="22:22" s="2" customFormat="1">
      <c r="V487" s="15"/>
    </row>
    <row r="488" spans="22:22" s="2" customFormat="1">
      <c r="V488" s="15"/>
    </row>
    <row r="489" spans="22:22" s="2" customFormat="1">
      <c r="V489" s="15"/>
    </row>
    <row r="490" spans="22:22" s="2" customFormat="1">
      <c r="V490" s="15"/>
    </row>
    <row r="491" spans="22:22" s="2" customFormat="1">
      <c r="V491" s="15"/>
    </row>
    <row r="492" spans="22:22" s="2" customFormat="1">
      <c r="V492" s="15"/>
    </row>
    <row r="493" spans="22:22" s="2" customFormat="1">
      <c r="V493" s="15"/>
    </row>
    <row r="494" spans="22:22" s="2" customFormat="1">
      <c r="V494" s="15"/>
    </row>
    <row r="495" spans="22:22" s="2" customFormat="1">
      <c r="V495" s="15"/>
    </row>
    <row r="496" spans="22:22" s="2" customFormat="1">
      <c r="V496" s="15"/>
    </row>
    <row r="497" spans="22:22" s="2" customFormat="1">
      <c r="V497" s="15"/>
    </row>
    <row r="498" spans="22:22" s="2" customFormat="1">
      <c r="V498" s="15"/>
    </row>
    <row r="499" spans="22:22" s="2" customFormat="1">
      <c r="V499" s="15"/>
    </row>
    <row r="500" spans="22:22" s="2" customFormat="1">
      <c r="V500" s="15"/>
    </row>
    <row r="501" spans="22:22" s="2" customFormat="1">
      <c r="V501" s="15"/>
    </row>
    <row r="502" spans="22:22" s="2" customFormat="1">
      <c r="V502" s="15"/>
    </row>
    <row r="503" spans="22:22" s="2" customFormat="1">
      <c r="V503" s="15"/>
    </row>
    <row r="504" spans="22:22" s="2" customFormat="1">
      <c r="V504" s="15"/>
    </row>
    <row r="505" spans="22:22" s="2" customFormat="1">
      <c r="V505" s="15"/>
    </row>
    <row r="506" spans="22:22" s="2" customFormat="1">
      <c r="V506" s="15"/>
    </row>
    <row r="507" spans="22:22" s="2" customFormat="1">
      <c r="V507" s="15"/>
    </row>
    <row r="508" spans="22:22" s="2" customFormat="1">
      <c r="V508" s="15"/>
    </row>
    <row r="509" spans="22:22" s="2" customFormat="1">
      <c r="V509" s="15"/>
    </row>
    <row r="510" spans="22:22" s="2" customFormat="1">
      <c r="V510" s="15"/>
    </row>
    <row r="511" spans="22:22" s="2" customFormat="1">
      <c r="V511" s="15"/>
    </row>
    <row r="512" spans="22:22" s="2" customFormat="1">
      <c r="V512" s="15"/>
    </row>
    <row r="513" spans="22:22" s="2" customFormat="1">
      <c r="V513" s="15"/>
    </row>
    <row r="514" spans="22:22" s="2" customFormat="1">
      <c r="V514" s="15"/>
    </row>
    <row r="515" spans="22:22" s="2" customFormat="1">
      <c r="V515" s="15"/>
    </row>
    <row r="516" spans="22:22" s="2" customFormat="1">
      <c r="V516" s="15"/>
    </row>
    <row r="517" spans="22:22" s="2" customFormat="1">
      <c r="V517" s="15"/>
    </row>
    <row r="518" spans="22:22" s="2" customFormat="1">
      <c r="V518" s="15"/>
    </row>
    <row r="519" spans="22:22" s="2" customFormat="1">
      <c r="V519" s="15"/>
    </row>
    <row r="520" spans="22:22" s="2" customFormat="1">
      <c r="V520" s="15"/>
    </row>
    <row r="521" spans="22:22" s="2" customFormat="1">
      <c r="V521" s="15"/>
    </row>
    <row r="522" spans="22:22" s="2" customFormat="1">
      <c r="V522" s="15"/>
    </row>
    <row r="523" spans="22:22" s="2" customFormat="1">
      <c r="V523" s="15"/>
    </row>
    <row r="524" spans="22:22" s="2" customFormat="1">
      <c r="V524" s="15"/>
    </row>
    <row r="525" spans="22:22" s="2" customFormat="1">
      <c r="V525" s="15"/>
    </row>
    <row r="526" spans="22:22" s="2" customFormat="1">
      <c r="V526" s="15"/>
    </row>
    <row r="527" spans="22:22" s="2" customFormat="1">
      <c r="V527" s="15"/>
    </row>
    <row r="528" spans="22:22" s="2" customFormat="1">
      <c r="V528" s="15"/>
    </row>
    <row r="529" spans="22:22" s="2" customFormat="1">
      <c r="V529" s="15"/>
    </row>
    <row r="530" spans="22:22" s="2" customFormat="1">
      <c r="V530" s="15"/>
    </row>
    <row r="531" spans="22:22" s="2" customFormat="1">
      <c r="V531" s="15"/>
    </row>
    <row r="532" spans="22:22" s="2" customFormat="1">
      <c r="V532" s="15"/>
    </row>
    <row r="533" spans="22:22" s="2" customFormat="1">
      <c r="V533" s="15"/>
    </row>
    <row r="534" spans="22:22" s="2" customFormat="1">
      <c r="V534" s="15"/>
    </row>
    <row r="535" spans="22:22" s="2" customFormat="1">
      <c r="V535" s="15"/>
    </row>
    <row r="536" spans="22:22" s="2" customFormat="1">
      <c r="V536" s="15"/>
    </row>
    <row r="537" spans="22:22" s="2" customFormat="1">
      <c r="V537" s="15"/>
    </row>
    <row r="538" spans="22:22" s="2" customFormat="1">
      <c r="V538" s="15"/>
    </row>
    <row r="539" spans="22:22" s="2" customFormat="1">
      <c r="V539" s="15"/>
    </row>
    <row r="540" spans="22:22" s="2" customFormat="1">
      <c r="V540" s="15"/>
    </row>
    <row r="541" spans="22:22" s="2" customFormat="1">
      <c r="V541" s="15"/>
    </row>
    <row r="542" spans="22:22" s="2" customFormat="1">
      <c r="V542" s="15"/>
    </row>
    <row r="543" spans="22:22" s="2" customFormat="1">
      <c r="V543" s="15"/>
    </row>
    <row r="544" spans="22:22" s="2" customFormat="1">
      <c r="V544" s="15"/>
    </row>
    <row r="545" spans="22:22" s="2" customFormat="1">
      <c r="V545" s="15"/>
    </row>
    <row r="546" spans="22:22" s="2" customFormat="1">
      <c r="V546" s="15"/>
    </row>
    <row r="547" spans="22:22" s="2" customFormat="1">
      <c r="V547" s="15"/>
    </row>
    <row r="548" spans="22:22" s="2" customFormat="1">
      <c r="V548" s="15"/>
    </row>
    <row r="549" spans="22:22" s="2" customFormat="1">
      <c r="V549" s="15"/>
    </row>
    <row r="550" spans="22:22" s="2" customFormat="1">
      <c r="V550" s="15"/>
    </row>
    <row r="551" spans="22:22" s="2" customFormat="1">
      <c r="V551" s="15"/>
    </row>
    <row r="552" spans="22:22" s="2" customFormat="1">
      <c r="V552" s="15"/>
    </row>
    <row r="553" spans="22:22" s="2" customFormat="1">
      <c r="V553" s="15"/>
    </row>
    <row r="554" spans="22:22" s="2" customFormat="1">
      <c r="V554" s="15"/>
    </row>
    <row r="555" spans="22:22" s="2" customFormat="1">
      <c r="V555" s="15"/>
    </row>
    <row r="556" spans="22:22" s="2" customFormat="1">
      <c r="V556" s="15"/>
    </row>
    <row r="557" spans="22:22" s="2" customFormat="1">
      <c r="V557" s="15"/>
    </row>
    <row r="558" spans="22:22" s="2" customFormat="1">
      <c r="V558" s="15"/>
    </row>
    <row r="559" spans="22:22" s="2" customFormat="1">
      <c r="V559" s="15"/>
    </row>
    <row r="560" spans="22:22" s="2" customFormat="1">
      <c r="V560" s="15"/>
    </row>
    <row r="561" spans="22:22" s="2" customFormat="1">
      <c r="V561" s="15"/>
    </row>
    <row r="562" spans="22:22" s="2" customFormat="1">
      <c r="V562" s="15"/>
    </row>
    <row r="563" spans="22:22" s="2" customFormat="1">
      <c r="V563" s="15"/>
    </row>
    <row r="564" spans="22:22" s="2" customFormat="1">
      <c r="V564" s="15"/>
    </row>
    <row r="565" spans="22:22" s="2" customFormat="1">
      <c r="V565" s="15"/>
    </row>
    <row r="566" spans="22:22" s="2" customFormat="1">
      <c r="V566" s="15"/>
    </row>
    <row r="567" spans="22:22" s="2" customFormat="1">
      <c r="V567" s="15"/>
    </row>
    <row r="568" spans="22:22" s="2" customFormat="1">
      <c r="V568" s="15"/>
    </row>
    <row r="569" spans="22:22" s="2" customFormat="1">
      <c r="V569" s="15"/>
    </row>
    <row r="570" spans="22:22" s="2" customFormat="1">
      <c r="V570" s="15"/>
    </row>
    <row r="571" spans="22:22" s="2" customFormat="1">
      <c r="V571" s="15"/>
    </row>
    <row r="572" spans="22:22" s="2" customFormat="1">
      <c r="V572" s="15"/>
    </row>
    <row r="573" spans="22:22" s="2" customFormat="1">
      <c r="V573" s="15"/>
    </row>
    <row r="574" spans="22:22" s="2" customFormat="1">
      <c r="V574" s="15"/>
    </row>
    <row r="575" spans="22:22" s="2" customFormat="1">
      <c r="V575" s="15"/>
    </row>
    <row r="576" spans="22:22" s="2" customFormat="1">
      <c r="V576" s="15"/>
    </row>
    <row r="577" spans="22:22" s="2" customFormat="1">
      <c r="V577" s="15"/>
    </row>
    <row r="578" spans="22:22" s="2" customFormat="1">
      <c r="V578" s="15"/>
    </row>
    <row r="579" spans="22:22" s="2" customFormat="1">
      <c r="V579" s="15"/>
    </row>
    <row r="580" spans="22:22" s="2" customFormat="1">
      <c r="V580" s="15"/>
    </row>
    <row r="581" spans="22:22" s="2" customFormat="1">
      <c r="V581" s="15"/>
    </row>
    <row r="582" spans="22:22" s="2" customFormat="1">
      <c r="V582" s="15"/>
    </row>
    <row r="583" spans="22:22" s="2" customFormat="1">
      <c r="V583" s="15"/>
    </row>
    <row r="584" spans="22:22" s="2" customFormat="1">
      <c r="V584" s="15"/>
    </row>
    <row r="585" spans="22:22" s="2" customFormat="1">
      <c r="V585" s="15"/>
    </row>
    <row r="586" spans="22:22" s="2" customFormat="1">
      <c r="V586" s="15"/>
    </row>
    <row r="587" spans="22:22" s="2" customFormat="1">
      <c r="V587" s="15"/>
    </row>
    <row r="588" spans="22:22" s="2" customFormat="1">
      <c r="V588" s="15"/>
    </row>
    <row r="589" spans="22:22" s="2" customFormat="1">
      <c r="V589" s="15"/>
    </row>
    <row r="590" spans="22:22" s="2" customFormat="1">
      <c r="V590" s="15"/>
    </row>
    <row r="591" spans="22:22" s="2" customFormat="1">
      <c r="V591" s="15"/>
    </row>
    <row r="592" spans="22:22" s="2" customFormat="1">
      <c r="V592" s="15"/>
    </row>
    <row r="593" spans="22:22" s="2" customFormat="1">
      <c r="V593" s="15"/>
    </row>
    <row r="594" spans="22:22" s="2" customFormat="1">
      <c r="V594" s="15"/>
    </row>
    <row r="595" spans="22:22" s="2" customFormat="1">
      <c r="V595" s="15"/>
    </row>
    <row r="596" spans="22:22" s="2" customFormat="1">
      <c r="V596" s="15"/>
    </row>
    <row r="597" spans="22:22" s="2" customFormat="1">
      <c r="V597" s="15"/>
    </row>
    <row r="598" spans="22:22" s="2" customFormat="1">
      <c r="V598" s="15"/>
    </row>
    <row r="599" spans="22:22" s="2" customFormat="1">
      <c r="V599" s="15"/>
    </row>
    <row r="600" spans="22:22" s="2" customFormat="1">
      <c r="V600" s="15"/>
    </row>
    <row r="601" spans="22:22" s="2" customFormat="1">
      <c r="V601" s="15"/>
    </row>
    <row r="602" spans="22:22" s="2" customFormat="1">
      <c r="V602" s="15"/>
    </row>
    <row r="603" spans="22:22" s="2" customFormat="1">
      <c r="V603" s="15"/>
    </row>
    <row r="604" spans="22:22" s="2" customFormat="1">
      <c r="V604" s="15"/>
    </row>
    <row r="605" spans="22:22" s="2" customFormat="1">
      <c r="V605" s="15"/>
    </row>
    <row r="606" spans="22:22" s="2" customFormat="1">
      <c r="V606" s="15"/>
    </row>
    <row r="607" spans="22:22" s="2" customFormat="1">
      <c r="V607" s="15"/>
    </row>
    <row r="608" spans="22:22" s="2" customFormat="1">
      <c r="V608" s="15"/>
    </row>
    <row r="609" spans="22:22" s="2" customFormat="1">
      <c r="V609" s="15"/>
    </row>
    <row r="610" spans="22:22" s="2" customFormat="1">
      <c r="V610" s="15"/>
    </row>
    <row r="611" spans="22:22" s="2" customFormat="1">
      <c r="V611" s="15"/>
    </row>
    <row r="612" spans="22:22" s="2" customFormat="1">
      <c r="V612" s="15"/>
    </row>
    <row r="613" spans="22:22" s="2" customFormat="1">
      <c r="V613" s="15"/>
    </row>
    <row r="614" spans="22:22" s="2" customFormat="1">
      <c r="V614" s="15"/>
    </row>
    <row r="615" spans="22:22" s="2" customFormat="1">
      <c r="V615" s="15"/>
    </row>
    <row r="616" spans="22:22" s="2" customFormat="1">
      <c r="V616" s="15"/>
    </row>
    <row r="617" spans="22:22" s="2" customFormat="1">
      <c r="V617" s="15"/>
    </row>
    <row r="618" spans="22:22" s="2" customFormat="1">
      <c r="V618" s="15"/>
    </row>
    <row r="619" spans="22:22" s="2" customFormat="1">
      <c r="V619" s="15"/>
    </row>
    <row r="620" spans="22:22" s="2" customFormat="1">
      <c r="V620" s="15"/>
    </row>
    <row r="621" spans="22:22" s="2" customFormat="1">
      <c r="V621" s="15"/>
    </row>
    <row r="622" spans="22:22" s="2" customFormat="1">
      <c r="V622" s="15"/>
    </row>
    <row r="623" spans="22:22" s="2" customFormat="1">
      <c r="V623" s="15"/>
    </row>
    <row r="624" spans="22:22" s="2" customFormat="1">
      <c r="V624" s="15"/>
    </row>
    <row r="625" spans="22:22" s="2" customFormat="1">
      <c r="V625" s="15"/>
    </row>
    <row r="626" spans="22:22" s="2" customFormat="1">
      <c r="V626" s="15"/>
    </row>
    <row r="627" spans="22:22" s="2" customFormat="1">
      <c r="V627" s="15"/>
    </row>
    <row r="628" spans="22:22" s="2" customFormat="1">
      <c r="V628" s="15"/>
    </row>
    <row r="629" spans="22:22" s="2" customFormat="1">
      <c r="V629" s="15"/>
    </row>
    <row r="630" spans="22:22" s="2" customFormat="1">
      <c r="V630" s="15"/>
    </row>
    <row r="631" spans="22:22" s="2" customFormat="1">
      <c r="V631" s="15"/>
    </row>
    <row r="632" spans="22:22" s="2" customFormat="1">
      <c r="V632" s="15"/>
    </row>
    <row r="633" spans="22:22" s="2" customFormat="1">
      <c r="V633" s="15"/>
    </row>
    <row r="634" spans="22:22" s="2" customFormat="1">
      <c r="V634" s="15"/>
    </row>
    <row r="635" spans="22:22" s="2" customFormat="1">
      <c r="V635" s="15"/>
    </row>
    <row r="636" spans="22:22" s="2" customFormat="1">
      <c r="V636" s="15"/>
    </row>
    <row r="637" spans="22:22" s="2" customFormat="1">
      <c r="V637" s="15"/>
    </row>
    <row r="638" spans="22:22" s="2" customFormat="1">
      <c r="V638" s="15"/>
    </row>
    <row r="639" spans="22:22" s="2" customFormat="1">
      <c r="V639" s="15"/>
    </row>
    <row r="640" spans="22:22" s="2" customFormat="1">
      <c r="V640" s="15"/>
    </row>
    <row r="641" spans="22:22" s="2" customFormat="1">
      <c r="V641" s="15"/>
    </row>
    <row r="642" spans="22:22" s="2" customFormat="1">
      <c r="V642" s="15"/>
    </row>
    <row r="643" spans="22:22" s="2" customFormat="1">
      <c r="V643" s="15"/>
    </row>
    <row r="644" spans="22:22" s="2" customFormat="1">
      <c r="V644" s="15"/>
    </row>
    <row r="645" spans="22:22" s="2" customFormat="1">
      <c r="V645" s="15"/>
    </row>
    <row r="646" spans="22:22" s="2" customFormat="1">
      <c r="V646" s="15"/>
    </row>
    <row r="647" spans="22:22" s="2" customFormat="1">
      <c r="V647" s="15"/>
    </row>
    <row r="648" spans="22:22" s="2" customFormat="1">
      <c r="V648" s="15"/>
    </row>
    <row r="649" spans="22:22" s="2" customFormat="1">
      <c r="V649" s="15"/>
    </row>
    <row r="650" spans="22:22" s="2" customFormat="1">
      <c r="V650" s="15"/>
    </row>
    <row r="651" spans="22:22" s="2" customFormat="1">
      <c r="V651" s="15"/>
    </row>
    <row r="652" spans="22:22" s="2" customFormat="1">
      <c r="V652" s="15"/>
    </row>
    <row r="653" spans="22:22" s="2" customFormat="1">
      <c r="V653" s="15"/>
    </row>
    <row r="654" spans="22:22" s="2" customFormat="1">
      <c r="V654" s="15"/>
    </row>
    <row r="655" spans="22:22" s="2" customFormat="1">
      <c r="V655" s="15"/>
    </row>
    <row r="656" spans="22:22" s="2" customFormat="1">
      <c r="V656" s="15"/>
    </row>
    <row r="657" spans="22:22" s="2" customFormat="1">
      <c r="V657" s="15"/>
    </row>
    <row r="658" spans="22:22" s="2" customFormat="1">
      <c r="V658" s="15"/>
    </row>
    <row r="659" spans="22:22" s="2" customFormat="1">
      <c r="V659" s="15"/>
    </row>
    <row r="660" spans="22:22" s="2" customFormat="1">
      <c r="V660" s="15"/>
    </row>
    <row r="661" spans="22:22" s="2" customFormat="1">
      <c r="V661" s="15"/>
    </row>
    <row r="662" spans="22:22" s="2" customFormat="1">
      <c r="V662" s="15"/>
    </row>
    <row r="663" spans="22:22" s="2" customFormat="1">
      <c r="V663" s="15"/>
    </row>
    <row r="664" spans="22:22" s="2" customFormat="1">
      <c r="V664" s="15"/>
    </row>
    <row r="665" spans="22:22" s="2" customFormat="1">
      <c r="V665" s="15"/>
    </row>
    <row r="666" spans="22:22" s="2" customFormat="1">
      <c r="V666" s="15"/>
    </row>
    <row r="667" spans="22:22" s="2" customFormat="1">
      <c r="V667" s="15"/>
    </row>
    <row r="668" spans="22:22" s="2" customFormat="1">
      <c r="V668" s="15"/>
    </row>
    <row r="669" spans="22:22" s="2" customFormat="1">
      <c r="V669" s="15"/>
    </row>
    <row r="670" spans="22:22" s="2" customFormat="1">
      <c r="V670" s="15"/>
    </row>
    <row r="671" spans="22:22" s="2" customFormat="1">
      <c r="V671" s="15"/>
    </row>
    <row r="672" spans="22:22" s="2" customFormat="1">
      <c r="V672" s="15"/>
    </row>
    <row r="673" spans="22:22" s="2" customFormat="1">
      <c r="V673" s="15"/>
    </row>
    <row r="674" spans="22:22" s="2" customFormat="1">
      <c r="V674" s="15"/>
    </row>
    <row r="675" spans="22:22" s="2" customFormat="1">
      <c r="V675" s="15"/>
    </row>
    <row r="676" spans="22:22" s="2" customFormat="1">
      <c r="V676" s="15"/>
    </row>
    <row r="677" spans="22:22" s="2" customFormat="1">
      <c r="V677" s="15"/>
    </row>
    <row r="678" spans="22:22" s="2" customFormat="1">
      <c r="V678" s="15"/>
    </row>
    <row r="679" spans="22:22" s="2" customFormat="1">
      <c r="V679" s="15"/>
    </row>
    <row r="680" spans="22:22" s="2" customFormat="1">
      <c r="V680" s="15"/>
    </row>
    <row r="681" spans="22:22" s="2" customFormat="1">
      <c r="V681" s="15"/>
    </row>
    <row r="682" spans="22:22" s="2" customFormat="1">
      <c r="V682" s="15"/>
    </row>
    <row r="683" spans="22:22" s="2" customFormat="1">
      <c r="V683" s="15"/>
    </row>
    <row r="684" spans="22:22" s="2" customFormat="1">
      <c r="V684" s="15"/>
    </row>
    <row r="685" spans="22:22" s="2" customFormat="1">
      <c r="V685" s="15"/>
    </row>
    <row r="686" spans="22:22" s="2" customFormat="1">
      <c r="V686" s="15"/>
    </row>
    <row r="687" spans="22:22" s="2" customFormat="1">
      <c r="V687" s="15"/>
    </row>
    <row r="688" spans="22:22" s="2" customFormat="1">
      <c r="V688" s="15"/>
    </row>
    <row r="689" spans="22:22" s="2" customFormat="1">
      <c r="V689" s="15"/>
    </row>
    <row r="690" spans="22:22" s="2" customFormat="1">
      <c r="V690" s="15"/>
    </row>
    <row r="691" spans="22:22" s="2" customFormat="1">
      <c r="V691" s="15"/>
    </row>
    <row r="692" spans="22:22" s="2" customFormat="1">
      <c r="V692" s="15"/>
    </row>
    <row r="693" spans="22:22" s="2" customFormat="1">
      <c r="V693" s="15"/>
    </row>
    <row r="694" spans="22:22" s="2" customFormat="1">
      <c r="V694" s="15"/>
    </row>
    <row r="695" spans="22:22" s="2" customFormat="1">
      <c r="V695" s="15"/>
    </row>
    <row r="696" spans="22:22" s="2" customFormat="1">
      <c r="V696" s="15"/>
    </row>
    <row r="697" spans="22:22" s="2" customFormat="1">
      <c r="V697" s="15"/>
    </row>
    <row r="698" spans="22:22" s="2" customFormat="1">
      <c r="V698" s="15"/>
    </row>
    <row r="699" spans="22:22" s="2" customFormat="1">
      <c r="V699" s="15"/>
    </row>
    <row r="700" spans="22:22" s="2" customFormat="1">
      <c r="V700" s="15"/>
    </row>
    <row r="701" spans="22:22" s="2" customFormat="1">
      <c r="V701" s="15"/>
    </row>
    <row r="702" spans="22:22" s="2" customFormat="1">
      <c r="V702" s="15"/>
    </row>
    <row r="703" spans="22:22" s="2" customFormat="1">
      <c r="V703" s="15"/>
    </row>
    <row r="704" spans="22:22" s="2" customFormat="1">
      <c r="V704" s="15"/>
    </row>
    <row r="705" spans="22:22" s="2" customFormat="1">
      <c r="V705" s="15"/>
    </row>
    <row r="706" spans="22:22" s="2" customFormat="1">
      <c r="V706" s="15"/>
    </row>
    <row r="707" spans="22:22" s="2" customFormat="1">
      <c r="V707" s="15"/>
    </row>
    <row r="708" spans="22:22" s="2" customFormat="1">
      <c r="V708" s="15"/>
    </row>
    <row r="709" spans="22:22" s="2" customFormat="1">
      <c r="V709" s="15"/>
    </row>
    <row r="710" spans="22:22" s="2" customFormat="1">
      <c r="V710" s="15"/>
    </row>
    <row r="711" spans="22:22" s="2" customFormat="1">
      <c r="V711" s="15"/>
    </row>
    <row r="712" spans="22:22" s="2" customFormat="1">
      <c r="V712" s="15"/>
    </row>
    <row r="713" spans="22:22" s="2" customFormat="1">
      <c r="V713" s="15"/>
    </row>
    <row r="714" spans="22:22" s="2" customFormat="1">
      <c r="V714" s="15"/>
    </row>
    <row r="715" spans="22:22" s="2" customFormat="1">
      <c r="V715" s="15"/>
    </row>
    <row r="716" spans="22:22" s="2" customFormat="1">
      <c r="V716" s="15"/>
    </row>
    <row r="717" spans="22:22" s="2" customFormat="1">
      <c r="V717" s="15"/>
    </row>
    <row r="718" spans="22:22" s="2" customFormat="1">
      <c r="V718" s="15"/>
    </row>
    <row r="719" spans="22:22" s="2" customFormat="1">
      <c r="V719" s="15"/>
    </row>
    <row r="720" spans="22:22" s="2" customFormat="1">
      <c r="V720" s="15"/>
    </row>
    <row r="721" spans="22:22" s="2" customFormat="1">
      <c r="V721" s="15"/>
    </row>
    <row r="722" spans="22:22" s="2" customFormat="1">
      <c r="V722" s="15"/>
    </row>
    <row r="723" spans="22:22" s="2" customFormat="1">
      <c r="V723" s="15"/>
    </row>
    <row r="724" spans="22:22" s="2" customFormat="1">
      <c r="V724" s="15"/>
    </row>
    <row r="725" spans="22:22" s="2" customFormat="1">
      <c r="V725" s="15"/>
    </row>
    <row r="726" spans="22:22" s="2" customFormat="1">
      <c r="V726" s="15"/>
    </row>
    <row r="727" spans="22:22" s="2" customFormat="1">
      <c r="V727" s="15"/>
    </row>
    <row r="728" spans="22:22" s="2" customFormat="1">
      <c r="V728" s="15"/>
    </row>
    <row r="729" spans="22:22" s="2" customFormat="1">
      <c r="V729" s="15"/>
    </row>
    <row r="730" spans="22:22" s="2" customFormat="1">
      <c r="V730" s="15"/>
    </row>
    <row r="731" spans="22:22" s="2" customFormat="1">
      <c r="V731" s="15"/>
    </row>
    <row r="732" spans="22:22" s="2" customFormat="1">
      <c r="V732" s="15"/>
    </row>
    <row r="733" spans="22:22" s="2" customFormat="1">
      <c r="V733" s="15"/>
    </row>
    <row r="734" spans="22:22" s="2" customFormat="1">
      <c r="V734" s="15"/>
    </row>
    <row r="735" spans="22:22" s="2" customFormat="1">
      <c r="V735" s="15"/>
    </row>
    <row r="736" spans="22:22" s="2" customFormat="1">
      <c r="V736" s="15"/>
    </row>
    <row r="737" spans="22:22" s="2" customFormat="1">
      <c r="V737" s="15"/>
    </row>
    <row r="738" spans="22:22" s="2" customFormat="1">
      <c r="V738" s="15"/>
    </row>
    <row r="739" spans="22:22" s="2" customFormat="1">
      <c r="V739" s="15"/>
    </row>
    <row r="740" spans="22:22" s="2" customFormat="1">
      <c r="V740" s="15"/>
    </row>
    <row r="741" spans="22:22" s="2" customFormat="1">
      <c r="V741" s="15"/>
    </row>
    <row r="742" spans="22:22" s="2" customFormat="1">
      <c r="V742" s="15"/>
    </row>
    <row r="743" spans="22:22" s="2" customFormat="1">
      <c r="V743" s="15"/>
    </row>
    <row r="744" spans="22:22" s="2" customFormat="1">
      <c r="V744" s="15"/>
    </row>
    <row r="745" spans="22:22" s="2" customFormat="1">
      <c r="V745" s="15"/>
    </row>
    <row r="746" spans="22:22" s="2" customFormat="1">
      <c r="V746" s="15"/>
    </row>
    <row r="747" spans="22:22" s="2" customFormat="1">
      <c r="V747" s="15"/>
    </row>
    <row r="748" spans="22:22" s="2" customFormat="1">
      <c r="V748" s="15"/>
    </row>
    <row r="749" spans="22:22" s="2" customFormat="1">
      <c r="V749" s="15"/>
    </row>
    <row r="750" spans="22:22" s="2" customFormat="1">
      <c r="V750" s="15"/>
    </row>
    <row r="751" spans="22:22" s="2" customFormat="1">
      <c r="V751" s="15"/>
    </row>
    <row r="752" spans="22:22" s="2" customFormat="1">
      <c r="V752" s="15"/>
    </row>
    <row r="753" spans="22:22" s="2" customFormat="1">
      <c r="V753" s="15"/>
    </row>
    <row r="754" spans="22:22" s="2" customFormat="1">
      <c r="V754" s="15"/>
    </row>
    <row r="755" spans="22:22" s="2" customFormat="1">
      <c r="V755" s="15"/>
    </row>
    <row r="756" spans="22:22" s="2" customFormat="1">
      <c r="V756" s="15"/>
    </row>
    <row r="757" spans="22:22" s="2" customFormat="1">
      <c r="V757" s="15"/>
    </row>
    <row r="758" spans="22:22" s="2" customFormat="1">
      <c r="V758" s="15"/>
    </row>
    <row r="759" spans="22:22" s="2" customFormat="1">
      <c r="V759" s="15"/>
    </row>
    <row r="760" spans="22:22" s="2" customFormat="1">
      <c r="V760" s="15"/>
    </row>
    <row r="761" spans="22:22" s="2" customFormat="1">
      <c r="V761" s="15"/>
    </row>
    <row r="762" spans="22:22" s="2" customFormat="1">
      <c r="V762" s="15"/>
    </row>
    <row r="763" spans="22:22" s="2" customFormat="1">
      <c r="V763" s="15"/>
    </row>
    <row r="764" spans="22:22" s="2" customFormat="1">
      <c r="V764" s="15"/>
    </row>
    <row r="765" spans="22:22" s="2" customFormat="1">
      <c r="V765" s="15"/>
    </row>
    <row r="766" spans="22:22" s="2" customFormat="1">
      <c r="V766" s="15"/>
    </row>
    <row r="767" spans="22:22" s="2" customFormat="1">
      <c r="V767" s="15"/>
    </row>
    <row r="768" spans="22:22" s="2" customFormat="1">
      <c r="V768" s="15"/>
    </row>
    <row r="769" spans="22:22" s="2" customFormat="1">
      <c r="V769" s="15"/>
    </row>
    <row r="770" spans="22:22" s="2" customFormat="1">
      <c r="V770" s="15"/>
    </row>
    <row r="771" spans="22:22" s="2" customFormat="1">
      <c r="V771" s="15"/>
    </row>
    <row r="772" spans="22:22" s="2" customFormat="1">
      <c r="V772" s="15"/>
    </row>
    <row r="773" spans="22:22" s="2" customFormat="1">
      <c r="V773" s="15"/>
    </row>
    <row r="774" spans="22:22" s="2" customFormat="1">
      <c r="V774" s="15"/>
    </row>
    <row r="775" spans="22:22" s="2" customFormat="1">
      <c r="V775" s="15"/>
    </row>
    <row r="776" spans="22:22" s="2" customFormat="1">
      <c r="V776" s="15"/>
    </row>
    <row r="777" spans="22:22" s="2" customFormat="1">
      <c r="V777" s="15"/>
    </row>
    <row r="778" spans="22:22" s="2" customFormat="1">
      <c r="V778" s="15"/>
    </row>
    <row r="779" spans="22:22" s="2" customFormat="1">
      <c r="V779" s="15"/>
    </row>
    <row r="780" spans="22:22" s="2" customFormat="1">
      <c r="V780" s="15"/>
    </row>
    <row r="781" spans="22:22" s="2" customFormat="1">
      <c r="V781" s="15"/>
    </row>
    <row r="782" spans="22:22" s="2" customFormat="1">
      <c r="V782" s="15"/>
    </row>
    <row r="783" spans="22:22" s="2" customFormat="1">
      <c r="V783" s="15"/>
    </row>
    <row r="784" spans="22:22" s="2" customFormat="1">
      <c r="V784" s="15"/>
    </row>
    <row r="785" spans="22:22" s="2" customFormat="1">
      <c r="V785" s="15"/>
    </row>
    <row r="786" spans="22:22" s="2" customFormat="1">
      <c r="V786" s="15"/>
    </row>
    <row r="787" spans="22:22" s="2" customFormat="1">
      <c r="V787" s="15"/>
    </row>
    <row r="788" spans="22:22" s="2" customFormat="1">
      <c r="V788" s="15"/>
    </row>
    <row r="789" spans="22:22" s="2" customFormat="1">
      <c r="V789" s="15"/>
    </row>
    <row r="790" spans="22:22" s="2" customFormat="1">
      <c r="V790" s="15"/>
    </row>
    <row r="791" spans="22:22" s="2" customFormat="1">
      <c r="V791" s="15"/>
    </row>
    <row r="792" spans="22:22" s="2" customFormat="1">
      <c r="V792" s="15"/>
    </row>
    <row r="793" spans="22:22" s="2" customFormat="1">
      <c r="V793" s="15"/>
    </row>
    <row r="794" spans="22:22" s="2" customFormat="1">
      <c r="V794" s="15"/>
    </row>
    <row r="795" spans="22:22" s="2" customFormat="1">
      <c r="V795" s="15"/>
    </row>
    <row r="796" spans="22:22" s="2" customFormat="1">
      <c r="V796" s="15"/>
    </row>
    <row r="797" spans="22:22" s="2" customFormat="1">
      <c r="V797" s="15"/>
    </row>
    <row r="798" spans="22:22" s="2" customFormat="1">
      <c r="V798" s="15"/>
    </row>
    <row r="799" spans="22:22" s="2" customFormat="1">
      <c r="V799" s="15"/>
    </row>
    <row r="800" spans="22:22" s="2" customFormat="1">
      <c r="V800" s="15"/>
    </row>
    <row r="801" spans="22:22" s="2" customFormat="1">
      <c r="V801" s="15"/>
    </row>
    <row r="802" spans="22:22" s="2" customFormat="1">
      <c r="V802" s="15"/>
    </row>
    <row r="803" spans="22:22" s="2" customFormat="1">
      <c r="V803" s="15"/>
    </row>
    <row r="804" spans="22:22" s="2" customFormat="1">
      <c r="V804" s="15"/>
    </row>
    <row r="805" spans="22:22" s="2" customFormat="1">
      <c r="V805" s="15"/>
    </row>
    <row r="806" spans="22:22" s="2" customFormat="1">
      <c r="V806" s="15"/>
    </row>
    <row r="807" spans="22:22" s="2" customFormat="1">
      <c r="V807" s="15"/>
    </row>
    <row r="808" spans="22:22" s="2" customFormat="1">
      <c r="V808" s="15"/>
    </row>
    <row r="809" spans="22:22" s="2" customFormat="1">
      <c r="V809" s="15"/>
    </row>
    <row r="810" spans="22:22" s="2" customFormat="1">
      <c r="V810" s="15"/>
    </row>
    <row r="811" spans="22:22" s="2" customFormat="1">
      <c r="V811" s="15"/>
    </row>
    <row r="812" spans="22:22" s="2" customFormat="1">
      <c r="V812" s="15"/>
    </row>
    <row r="813" spans="22:22" s="2" customFormat="1">
      <c r="V813" s="15"/>
    </row>
    <row r="814" spans="22:22" s="2" customFormat="1">
      <c r="V814" s="15"/>
    </row>
    <row r="815" spans="22:22" s="2" customFormat="1">
      <c r="V815" s="15"/>
    </row>
    <row r="816" spans="22:22" s="2" customFormat="1">
      <c r="V816" s="15"/>
    </row>
    <row r="817" spans="22:22" s="2" customFormat="1">
      <c r="V817" s="15"/>
    </row>
    <row r="818" spans="22:22" s="2" customFormat="1">
      <c r="V818" s="15"/>
    </row>
    <row r="819" spans="22:22" s="2" customFormat="1">
      <c r="V819" s="15"/>
    </row>
    <row r="820" spans="22:22" s="2" customFormat="1">
      <c r="V820" s="15"/>
    </row>
    <row r="821" spans="22:22" s="2" customFormat="1">
      <c r="V821" s="15"/>
    </row>
    <row r="822" spans="22:22" s="2" customFormat="1">
      <c r="V822" s="15"/>
    </row>
    <row r="823" spans="22:22" s="2" customFormat="1">
      <c r="V823" s="15"/>
    </row>
    <row r="824" spans="22:22" s="2" customFormat="1">
      <c r="V824" s="15"/>
    </row>
    <row r="825" spans="22:22" s="2" customFormat="1">
      <c r="V825" s="15"/>
    </row>
    <row r="826" spans="22:22" s="2" customFormat="1">
      <c r="V826" s="15"/>
    </row>
    <row r="827" spans="22:22" s="2" customFormat="1">
      <c r="V827" s="15"/>
    </row>
    <row r="828" spans="22:22" s="2" customFormat="1">
      <c r="V828" s="15"/>
    </row>
    <row r="829" spans="22:22" s="2" customFormat="1">
      <c r="V829" s="15"/>
    </row>
    <row r="830" spans="22:22" s="2" customFormat="1">
      <c r="V830" s="15"/>
    </row>
    <row r="831" spans="22:22" s="2" customFormat="1">
      <c r="V831" s="15"/>
    </row>
    <row r="832" spans="22:22" s="2" customFormat="1">
      <c r="V832" s="15"/>
    </row>
    <row r="833" spans="22:22" s="2" customFormat="1">
      <c r="V833" s="15"/>
    </row>
    <row r="834" spans="22:22" s="2" customFormat="1">
      <c r="V834" s="15"/>
    </row>
    <row r="835" spans="22:22" s="2" customFormat="1">
      <c r="V835" s="15"/>
    </row>
    <row r="836" spans="22:22" s="2" customFormat="1">
      <c r="V836" s="15"/>
    </row>
    <row r="837" spans="22:22" s="2" customFormat="1">
      <c r="V837" s="15"/>
    </row>
    <row r="838" spans="22:22" s="2" customFormat="1">
      <c r="V838" s="15"/>
    </row>
    <row r="839" spans="22:22" s="2" customFormat="1">
      <c r="V839" s="15"/>
    </row>
    <row r="840" spans="22:22" s="2" customFormat="1">
      <c r="V840" s="15"/>
    </row>
    <row r="841" spans="22:22" s="2" customFormat="1">
      <c r="V841" s="15"/>
    </row>
    <row r="842" spans="22:22" s="2" customFormat="1">
      <c r="V842" s="15"/>
    </row>
    <row r="843" spans="22:22" s="2" customFormat="1">
      <c r="V843" s="15"/>
    </row>
    <row r="844" spans="22:22" s="2" customFormat="1">
      <c r="V844" s="15"/>
    </row>
    <row r="845" spans="22:22" s="2" customFormat="1">
      <c r="V845" s="15"/>
    </row>
    <row r="846" spans="22:22" s="2" customFormat="1">
      <c r="V846" s="15"/>
    </row>
    <row r="847" spans="22:22" s="2" customFormat="1">
      <c r="V847" s="15"/>
    </row>
    <row r="848" spans="22:22" s="2" customFormat="1">
      <c r="V848" s="15"/>
    </row>
    <row r="849" spans="22:22" s="2" customFormat="1">
      <c r="V849" s="15"/>
    </row>
    <row r="850" spans="22:22" s="2" customFormat="1">
      <c r="V850" s="15"/>
    </row>
    <row r="851" spans="22:22" s="2" customFormat="1">
      <c r="V851" s="15"/>
    </row>
    <row r="852" spans="22:22" s="2" customFormat="1">
      <c r="V852" s="15"/>
    </row>
    <row r="853" spans="22:22" s="2" customFormat="1">
      <c r="V853" s="15"/>
    </row>
    <row r="854" spans="22:22" s="2" customFormat="1">
      <c r="V854" s="15"/>
    </row>
    <row r="855" spans="22:22" s="2" customFormat="1">
      <c r="V855" s="15"/>
    </row>
    <row r="856" spans="22:22" s="2" customFormat="1">
      <c r="V856" s="15"/>
    </row>
    <row r="857" spans="22:22" s="2" customFormat="1">
      <c r="V857" s="15"/>
    </row>
    <row r="858" spans="22:22" s="2" customFormat="1">
      <c r="V858" s="15"/>
    </row>
    <row r="859" spans="22:22" s="2" customFormat="1">
      <c r="V859" s="15"/>
    </row>
    <row r="860" spans="22:22" s="2" customFormat="1">
      <c r="V860" s="15"/>
    </row>
    <row r="861" spans="22:22" s="2" customFormat="1">
      <c r="V861" s="15"/>
    </row>
    <row r="862" spans="22:22" s="2" customFormat="1">
      <c r="V862" s="15"/>
    </row>
    <row r="863" spans="22:22" s="2" customFormat="1">
      <c r="V863" s="15"/>
    </row>
    <row r="864" spans="22:22" s="2" customFormat="1">
      <c r="V864" s="15"/>
    </row>
    <row r="865" spans="22:22" s="2" customFormat="1">
      <c r="V865" s="15"/>
    </row>
    <row r="866" spans="22:22" s="2" customFormat="1">
      <c r="V866" s="15"/>
    </row>
    <row r="867" spans="22:22" s="2" customFormat="1">
      <c r="V867" s="15"/>
    </row>
    <row r="868" spans="22:22" s="2" customFormat="1">
      <c r="V868" s="15"/>
    </row>
    <row r="869" spans="22:22" s="2" customFormat="1">
      <c r="V869" s="15"/>
    </row>
    <row r="870" spans="22:22" s="2" customFormat="1">
      <c r="V870" s="15"/>
    </row>
    <row r="871" spans="22:22" s="2" customFormat="1">
      <c r="V871" s="15"/>
    </row>
    <row r="872" spans="22:22" s="2" customFormat="1">
      <c r="V872" s="15"/>
    </row>
    <row r="873" spans="22:22" s="2" customFormat="1">
      <c r="V873" s="15"/>
    </row>
    <row r="874" spans="22:22" s="2" customFormat="1">
      <c r="V874" s="15"/>
    </row>
    <row r="875" spans="22:22" s="2" customFormat="1">
      <c r="V875" s="15"/>
    </row>
    <row r="876" spans="22:22" s="2" customFormat="1">
      <c r="V876" s="15"/>
    </row>
    <row r="877" spans="22:22" s="2" customFormat="1">
      <c r="V877" s="15"/>
    </row>
    <row r="878" spans="22:22" s="2" customFormat="1">
      <c r="V878" s="15"/>
    </row>
    <row r="879" spans="22:22" s="2" customFormat="1">
      <c r="V879" s="15"/>
    </row>
    <row r="880" spans="22:22" s="2" customFormat="1">
      <c r="V880" s="15"/>
    </row>
    <row r="881" spans="22:22" s="2" customFormat="1">
      <c r="V881" s="15"/>
    </row>
    <row r="882" spans="22:22" s="2" customFormat="1">
      <c r="V882" s="15"/>
    </row>
    <row r="883" spans="22:22" s="2" customFormat="1">
      <c r="V883" s="15"/>
    </row>
    <row r="884" spans="22:22" s="2" customFormat="1">
      <c r="V884" s="15"/>
    </row>
    <row r="885" spans="22:22" s="2" customFormat="1">
      <c r="V885" s="15"/>
    </row>
    <row r="886" spans="22:22" s="2" customFormat="1">
      <c r="V886" s="15"/>
    </row>
    <row r="887" spans="22:22" s="2" customFormat="1">
      <c r="V887" s="15"/>
    </row>
    <row r="888" spans="22:22" s="2" customFormat="1">
      <c r="V888" s="15"/>
    </row>
    <row r="889" spans="22:22" s="2" customFormat="1">
      <c r="V889" s="15"/>
    </row>
    <row r="890" spans="22:22" s="2" customFormat="1">
      <c r="V890" s="15"/>
    </row>
    <row r="891" spans="22:22" s="2" customFormat="1">
      <c r="V891" s="15"/>
    </row>
    <row r="892" spans="22:22" s="2" customFormat="1">
      <c r="V892" s="15"/>
    </row>
    <row r="893" spans="22:22" s="2" customFormat="1">
      <c r="V893" s="15"/>
    </row>
    <row r="894" spans="22:22" s="2" customFormat="1">
      <c r="V894" s="15"/>
    </row>
    <row r="895" spans="22:22" s="2" customFormat="1">
      <c r="V895" s="15"/>
    </row>
    <row r="896" spans="22:22" s="2" customFormat="1">
      <c r="V896" s="15"/>
    </row>
    <row r="897" spans="22:22" s="2" customFormat="1">
      <c r="V897" s="15"/>
    </row>
    <row r="898" spans="22:22" s="2" customFormat="1">
      <c r="V898" s="15"/>
    </row>
    <row r="899" spans="22:22" s="2" customFormat="1">
      <c r="V899" s="15"/>
    </row>
    <row r="900" spans="22:22" s="2" customFormat="1">
      <c r="V900" s="15"/>
    </row>
    <row r="901" spans="22:22" s="2" customFormat="1">
      <c r="V901" s="15"/>
    </row>
    <row r="902" spans="22:22" s="2" customFormat="1">
      <c r="V902" s="15"/>
    </row>
    <row r="903" spans="22:22" s="2" customFormat="1">
      <c r="V903" s="15"/>
    </row>
    <row r="904" spans="22:22" s="2" customFormat="1">
      <c r="V904" s="15"/>
    </row>
    <row r="905" spans="22:22" s="2" customFormat="1">
      <c r="V905" s="15"/>
    </row>
    <row r="906" spans="22:22" s="2" customFormat="1">
      <c r="V906" s="15"/>
    </row>
    <row r="907" spans="22:22" s="2" customFormat="1">
      <c r="V907" s="15"/>
    </row>
    <row r="908" spans="22:22" s="2" customFormat="1">
      <c r="V908" s="15"/>
    </row>
    <row r="909" spans="22:22" s="2" customFormat="1">
      <c r="V909" s="15"/>
    </row>
    <row r="910" spans="22:22" s="2" customFormat="1">
      <c r="V910" s="15"/>
    </row>
    <row r="911" spans="22:22" s="2" customFormat="1">
      <c r="V911" s="15"/>
    </row>
    <row r="912" spans="22:22" s="2" customFormat="1">
      <c r="V912" s="15"/>
    </row>
    <row r="913" spans="22:22" s="2" customFormat="1">
      <c r="V913" s="15"/>
    </row>
    <row r="914" spans="22:22" s="2" customFormat="1">
      <c r="V914" s="15"/>
    </row>
    <row r="915" spans="22:22" s="2" customFormat="1">
      <c r="V915" s="15"/>
    </row>
    <row r="916" spans="22:22" s="2" customFormat="1">
      <c r="V916" s="15"/>
    </row>
    <row r="917" spans="22:22" s="2" customFormat="1">
      <c r="V917" s="15"/>
    </row>
    <row r="918" spans="22:22" s="2" customFormat="1">
      <c r="V918" s="15"/>
    </row>
    <row r="919" spans="22:22" s="2" customFormat="1">
      <c r="V919" s="15"/>
    </row>
    <row r="920" spans="22:22" s="2" customFormat="1">
      <c r="V920" s="15"/>
    </row>
    <row r="921" spans="22:22" s="2" customFormat="1">
      <c r="V921" s="15"/>
    </row>
    <row r="922" spans="22:22" s="2" customFormat="1">
      <c r="V922" s="15"/>
    </row>
    <row r="923" spans="22:22" s="2" customFormat="1">
      <c r="V923" s="15"/>
    </row>
    <row r="924" spans="22:22" s="2" customFormat="1">
      <c r="V924" s="15"/>
    </row>
    <row r="925" spans="22:22" s="2" customFormat="1">
      <c r="V925" s="15"/>
    </row>
    <row r="926" spans="22:22" s="2" customFormat="1">
      <c r="V926" s="15"/>
    </row>
    <row r="927" spans="22:22" s="2" customFormat="1">
      <c r="V927" s="15"/>
    </row>
    <row r="928" spans="22:22" s="2" customFormat="1">
      <c r="V928" s="15"/>
    </row>
    <row r="929" spans="22:22" s="2" customFormat="1">
      <c r="V929" s="15"/>
    </row>
    <row r="930" spans="22:22" s="2" customFormat="1">
      <c r="V930" s="15"/>
    </row>
    <row r="931" spans="22:22" s="2" customFormat="1">
      <c r="V931" s="15"/>
    </row>
    <row r="932" spans="22:22" s="2" customFormat="1">
      <c r="V932" s="15"/>
    </row>
    <row r="933" spans="22:22" s="2" customFormat="1">
      <c r="V933" s="15"/>
    </row>
    <row r="934" spans="22:22" s="2" customFormat="1">
      <c r="V934" s="15"/>
    </row>
    <row r="935" spans="22:22" s="2" customFormat="1">
      <c r="V935" s="15"/>
    </row>
    <row r="936" spans="22:22" s="2" customFormat="1">
      <c r="V936" s="15"/>
    </row>
    <row r="937" spans="22:22" s="2" customFormat="1">
      <c r="V937" s="15"/>
    </row>
    <row r="938" spans="22:22" s="2" customFormat="1">
      <c r="V938" s="15"/>
    </row>
    <row r="939" spans="22:22" s="2" customFormat="1">
      <c r="V939" s="15"/>
    </row>
    <row r="940" spans="22:22" s="2" customFormat="1">
      <c r="V940" s="15"/>
    </row>
    <row r="941" spans="22:22" s="2" customFormat="1">
      <c r="V941" s="15"/>
    </row>
    <row r="942" spans="22:22" s="2" customFormat="1">
      <c r="V942" s="15"/>
    </row>
    <row r="943" spans="22:22" s="2" customFormat="1">
      <c r="V943" s="15"/>
    </row>
    <row r="944" spans="22:22" s="2" customFormat="1">
      <c r="V944" s="15"/>
    </row>
    <row r="945" spans="22:22" s="2" customFormat="1">
      <c r="V945" s="15"/>
    </row>
    <row r="946" spans="22:22" s="2" customFormat="1">
      <c r="V946" s="15"/>
    </row>
    <row r="947" spans="22:22" s="2" customFormat="1">
      <c r="V947" s="15"/>
    </row>
    <row r="948" spans="22:22" s="2" customFormat="1">
      <c r="V948" s="15"/>
    </row>
    <row r="949" spans="22:22" s="2" customFormat="1">
      <c r="V949" s="15"/>
    </row>
    <row r="950" spans="22:22" s="2" customFormat="1">
      <c r="V950" s="15"/>
    </row>
    <row r="951" spans="22:22" s="2" customFormat="1">
      <c r="V951" s="15"/>
    </row>
    <row r="952" spans="22:22" s="2" customFormat="1">
      <c r="V952" s="15"/>
    </row>
    <row r="953" spans="22:22" s="2" customFormat="1">
      <c r="V953" s="15"/>
    </row>
    <row r="954" spans="22:22" s="2" customFormat="1">
      <c r="V954" s="15"/>
    </row>
    <row r="955" spans="22:22" s="2" customFormat="1">
      <c r="V955" s="15"/>
    </row>
    <row r="956" spans="22:22" s="2" customFormat="1">
      <c r="V956" s="15"/>
    </row>
    <row r="957" spans="22:22" s="2" customFormat="1">
      <c r="V957" s="15"/>
    </row>
    <row r="958" spans="22:22" s="2" customFormat="1">
      <c r="V958" s="15"/>
    </row>
    <row r="959" spans="22:22" s="2" customFormat="1">
      <c r="V959" s="15"/>
    </row>
    <row r="960" spans="22:22" s="2" customFormat="1">
      <c r="V960" s="15"/>
    </row>
    <row r="961" spans="22:22" s="2" customFormat="1">
      <c r="V961" s="15"/>
    </row>
    <row r="962" spans="22:22" s="2" customFormat="1">
      <c r="V962" s="15"/>
    </row>
    <row r="963" spans="22:22" s="2" customFormat="1">
      <c r="V963" s="15"/>
    </row>
    <row r="964" spans="22:22" s="2" customFormat="1">
      <c r="V964" s="15"/>
    </row>
    <row r="965" spans="22:22" s="2" customFormat="1">
      <c r="V965" s="15"/>
    </row>
    <row r="966" spans="22:22" s="2" customFormat="1">
      <c r="V966" s="15"/>
    </row>
    <row r="967" spans="22:22" s="2" customFormat="1">
      <c r="V967" s="15"/>
    </row>
    <row r="968" spans="22:22" s="2" customFormat="1">
      <c r="V968" s="15"/>
    </row>
    <row r="969" spans="22:22" s="2" customFormat="1">
      <c r="V969" s="15"/>
    </row>
    <row r="970" spans="22:22" s="2" customFormat="1">
      <c r="V970" s="15"/>
    </row>
    <row r="971" spans="22:22" s="2" customFormat="1">
      <c r="V971" s="15"/>
    </row>
    <row r="972" spans="22:22" s="2" customFormat="1">
      <c r="V972" s="15"/>
    </row>
    <row r="973" spans="22:22" s="2" customFormat="1">
      <c r="V973" s="15"/>
    </row>
    <row r="974" spans="22:22" s="2" customFormat="1">
      <c r="V974" s="15"/>
    </row>
    <row r="975" spans="22:22" s="2" customFormat="1">
      <c r="V975" s="15"/>
    </row>
    <row r="976" spans="22:22" s="2" customFormat="1">
      <c r="V976" s="15"/>
    </row>
    <row r="977" spans="22:22" s="2" customFormat="1">
      <c r="V977" s="15"/>
    </row>
    <row r="978" spans="22:22" s="2" customFormat="1">
      <c r="V978" s="15"/>
    </row>
    <row r="979" spans="22:22" s="2" customFormat="1">
      <c r="V979" s="15"/>
    </row>
    <row r="980" spans="22:22" s="2" customFormat="1">
      <c r="V980" s="15"/>
    </row>
    <row r="981" spans="22:22" s="2" customFormat="1">
      <c r="V981" s="15"/>
    </row>
    <row r="982" spans="22:22" s="2" customFormat="1">
      <c r="V982" s="15"/>
    </row>
    <row r="983" spans="22:22" s="2" customFormat="1">
      <c r="V983" s="15"/>
    </row>
    <row r="984" spans="22:22" s="2" customFormat="1">
      <c r="V984" s="15"/>
    </row>
    <row r="985" spans="22:22" s="2" customFormat="1">
      <c r="V985" s="15"/>
    </row>
    <row r="986" spans="22:22" s="2" customFormat="1">
      <c r="V986" s="15"/>
    </row>
    <row r="987" spans="22:22" s="2" customFormat="1">
      <c r="V987" s="15"/>
    </row>
    <row r="988" spans="22:22" s="2" customFormat="1">
      <c r="V988" s="15"/>
    </row>
    <row r="989" spans="22:22" s="2" customFormat="1">
      <c r="V989" s="15"/>
    </row>
    <row r="990" spans="22:22" s="2" customFormat="1">
      <c r="V990" s="15"/>
    </row>
    <row r="991" spans="22:22" s="2" customFormat="1">
      <c r="V991" s="15"/>
    </row>
    <row r="992" spans="22:22" s="2" customFormat="1">
      <c r="V992" s="15"/>
    </row>
    <row r="993" spans="22:22" s="2" customFormat="1">
      <c r="V993" s="15"/>
    </row>
    <row r="994" spans="22:22" s="2" customFormat="1">
      <c r="V994" s="15"/>
    </row>
    <row r="995" spans="22:22" s="2" customFormat="1">
      <c r="V995" s="15"/>
    </row>
    <row r="996" spans="22:22" s="2" customFormat="1">
      <c r="V996" s="15"/>
    </row>
    <row r="997" spans="22:22" s="2" customFormat="1">
      <c r="V997" s="15"/>
    </row>
    <row r="998" spans="22:22" s="2" customFormat="1">
      <c r="V998" s="15"/>
    </row>
    <row r="999" spans="22:22" s="2" customFormat="1">
      <c r="V999" s="15"/>
    </row>
    <row r="1000" spans="22:22" s="2" customFormat="1">
      <c r="V1000" s="15"/>
    </row>
    <row r="1001" spans="22:22" s="2" customFormat="1">
      <c r="V1001" s="15"/>
    </row>
    <row r="1002" spans="22:22" s="2" customFormat="1">
      <c r="V1002" s="15"/>
    </row>
    <row r="1003" spans="22:22" s="2" customFormat="1">
      <c r="V1003" s="15"/>
    </row>
    <row r="1004" spans="22:22" s="2" customFormat="1">
      <c r="V1004" s="15"/>
    </row>
    <row r="1005" spans="22:22" s="2" customFormat="1">
      <c r="V1005" s="15"/>
    </row>
    <row r="1006" spans="22:22" s="2" customFormat="1">
      <c r="V1006" s="15"/>
    </row>
    <row r="1007" spans="22:22" s="2" customFormat="1">
      <c r="V1007" s="15"/>
    </row>
    <row r="1008" spans="22:22" s="2" customFormat="1">
      <c r="V1008" s="15"/>
    </row>
    <row r="1009" spans="22:22" s="2" customFormat="1">
      <c r="V1009" s="15"/>
    </row>
    <row r="1010" spans="22:22" s="2" customFormat="1">
      <c r="V1010" s="15"/>
    </row>
    <row r="1011" spans="22:22" s="2" customFormat="1">
      <c r="V1011" s="15"/>
    </row>
    <row r="1012" spans="22:22" s="2" customFormat="1">
      <c r="V1012" s="15"/>
    </row>
    <row r="1013" spans="22:22" s="2" customFormat="1">
      <c r="V1013" s="15"/>
    </row>
    <row r="1014" spans="22:22" s="2" customFormat="1">
      <c r="V1014" s="15"/>
    </row>
    <row r="1015" spans="22:22" s="2" customFormat="1">
      <c r="V1015" s="15"/>
    </row>
    <row r="1016" spans="22:22" s="2" customFormat="1">
      <c r="V1016" s="15"/>
    </row>
    <row r="1017" spans="22:22" s="2" customFormat="1">
      <c r="V1017" s="15"/>
    </row>
    <row r="1018" spans="22:22" s="2" customFormat="1">
      <c r="V1018" s="15"/>
    </row>
    <row r="1019" spans="22:22" s="2" customFormat="1">
      <c r="V1019" s="15"/>
    </row>
    <row r="1020" spans="22:22" s="2" customFormat="1">
      <c r="V1020" s="15"/>
    </row>
    <row r="1021" spans="22:22" s="2" customFormat="1">
      <c r="V1021" s="15"/>
    </row>
    <row r="1022" spans="22:22" s="2" customFormat="1"/>
    <row r="1023" spans="22:22" s="2" customFormat="1"/>
    <row r="1024" spans="22:22" s="2" customFormat="1"/>
    <row r="1025" s="2" customFormat="1"/>
    <row r="1026" s="2" customFormat="1"/>
    <row r="1027" s="2" customFormat="1"/>
    <row r="1028" s="2" customFormat="1"/>
    <row r="1029" s="2" customFormat="1"/>
    <row r="1030" s="2" customFormat="1"/>
    <row r="1031" s="2" customFormat="1"/>
    <row r="1032" s="2" customFormat="1"/>
    <row r="1033" s="2" customFormat="1"/>
    <row r="1034" s="2" customFormat="1"/>
    <row r="1035" s="2" customFormat="1"/>
    <row r="1036" s="2" customFormat="1"/>
    <row r="1037" s="2" customFormat="1"/>
    <row r="1038" s="2" customFormat="1"/>
    <row r="1039" s="2" customFormat="1"/>
    <row r="1040" s="2" customFormat="1"/>
    <row r="1041" s="2" customFormat="1"/>
    <row r="1042" s="2" customFormat="1"/>
    <row r="1043" s="2" customFormat="1"/>
    <row r="1044" s="2" customFormat="1"/>
    <row r="1045" s="2" customFormat="1"/>
    <row r="1046" s="2" customFormat="1"/>
    <row r="1047" s="2" customFormat="1"/>
    <row r="1048" s="2" customFormat="1"/>
    <row r="1049" s="2" customFormat="1"/>
    <row r="1050" s="2" customFormat="1"/>
    <row r="1051" s="2" customFormat="1"/>
    <row r="1052" s="2" customFormat="1"/>
    <row r="1053" s="2" customFormat="1"/>
    <row r="1054" s="2" customFormat="1"/>
    <row r="1055" s="2" customFormat="1"/>
    <row r="1056" s="2" customFormat="1"/>
    <row r="1057" s="2" customFormat="1"/>
    <row r="1058" s="2" customFormat="1"/>
    <row r="1059" s="2" customFormat="1"/>
    <row r="1060" s="2" customFormat="1"/>
    <row r="1061" s="2" customFormat="1"/>
    <row r="1062" s="2" customFormat="1"/>
    <row r="1063" s="2" customFormat="1"/>
    <row r="1064" s="2" customFormat="1"/>
    <row r="1065" s="2" customFormat="1"/>
    <row r="1066" s="2" customFormat="1"/>
    <row r="1067" s="2" customFormat="1"/>
    <row r="1068" s="2" customFormat="1"/>
    <row r="1069" s="2" customFormat="1"/>
    <row r="1070" s="2" customFormat="1"/>
    <row r="1071" s="2" customFormat="1"/>
    <row r="1072" s="2" customFormat="1"/>
    <row r="1073" s="2" customFormat="1"/>
    <row r="1074" s="2" customFormat="1"/>
    <row r="1075" s="2" customFormat="1"/>
    <row r="1076" s="2" customFormat="1"/>
    <row r="1077" s="2" customFormat="1"/>
    <row r="1078" s="2" customFormat="1"/>
    <row r="1079" s="2" customFormat="1"/>
    <row r="1080" s="2" customFormat="1"/>
    <row r="1081" s="2" customFormat="1"/>
    <row r="1082" s="2" customFormat="1"/>
    <row r="1083" s="2" customFormat="1"/>
    <row r="1084" s="2" customFormat="1"/>
    <row r="1085" s="2" customFormat="1"/>
    <row r="1086" s="2" customFormat="1"/>
    <row r="1087" s="2" customFormat="1"/>
    <row r="1088" s="2" customFormat="1"/>
    <row r="1089" s="2" customFormat="1"/>
    <row r="1090" s="2" customFormat="1"/>
    <row r="1091" s="2" customFormat="1"/>
    <row r="1092" s="2" customFormat="1"/>
    <row r="1093" s="2" customFormat="1"/>
    <row r="1094" s="2" customFormat="1"/>
    <row r="1095" s="2" customFormat="1"/>
    <row r="1096" s="2" customFormat="1"/>
    <row r="1097" s="2" customFormat="1"/>
    <row r="1098" s="2" customFormat="1"/>
    <row r="1099" s="2" customFormat="1"/>
    <row r="1100" s="2" customFormat="1"/>
    <row r="1101" s="2" customFormat="1"/>
    <row r="1102" s="2" customFormat="1"/>
    <row r="1103" s="2" customFormat="1"/>
    <row r="1104" s="2" customFormat="1"/>
    <row r="1105" s="2" customFormat="1"/>
    <row r="1106" s="2" customFormat="1"/>
    <row r="1107" s="2" customFormat="1"/>
    <row r="1108" s="2" customFormat="1"/>
    <row r="1109" s="2" customFormat="1"/>
    <row r="1110" s="2" customFormat="1"/>
    <row r="1111" s="2" customFormat="1"/>
    <row r="1112" s="2" customFormat="1"/>
    <row r="1113" s="2" customFormat="1"/>
    <row r="1114" s="2" customFormat="1"/>
    <row r="1115" s="2" customFormat="1"/>
    <row r="1116" s="2" customFormat="1"/>
    <row r="1117" s="2" customFormat="1"/>
    <row r="1118" s="2" customFormat="1"/>
    <row r="1119" s="2" customFormat="1"/>
    <row r="1120" s="2" customFormat="1"/>
    <row r="1121" s="2" customFormat="1"/>
    <row r="1122" s="2" customFormat="1"/>
    <row r="1123" s="2" customFormat="1"/>
    <row r="1124" s="2" customFormat="1"/>
    <row r="1125" s="2" customFormat="1"/>
    <row r="1126" s="2" customFormat="1"/>
    <row r="1127" s="2" customFormat="1"/>
    <row r="1128" s="2" customFormat="1"/>
    <row r="1129" s="2" customFormat="1"/>
    <row r="1130" s="2" customFormat="1"/>
    <row r="1131" s="2" customFormat="1"/>
    <row r="1132" s="2" customFormat="1"/>
    <row r="1133" s="2" customFormat="1"/>
    <row r="1134" s="2" customFormat="1"/>
    <row r="1135" s="2" customFormat="1"/>
    <row r="1136" s="2" customFormat="1"/>
    <row r="1137" s="2" customFormat="1"/>
    <row r="1138" s="2" customFormat="1"/>
    <row r="1139" s="2" customFormat="1"/>
    <row r="1140" s="2" customFormat="1"/>
    <row r="1141" s="2" customFormat="1"/>
    <row r="1142" s="2" customFormat="1"/>
    <row r="1143" s="2" customFormat="1"/>
    <row r="1144" s="2" customFormat="1"/>
    <row r="1145" s="2" customFormat="1"/>
    <row r="1146" s="2" customFormat="1"/>
    <row r="1147" s="2" customFormat="1"/>
    <row r="1148" s="2" customFormat="1"/>
    <row r="1149" s="2" customFormat="1"/>
    <row r="1150" s="2" customFormat="1"/>
    <row r="1151" s="2" customFormat="1"/>
    <row r="1152" s="2" customFormat="1"/>
    <row r="1153" s="2" customFormat="1"/>
    <row r="1154" s="2" customFormat="1"/>
    <row r="1155" s="2" customFormat="1"/>
    <row r="1156" s="2" customFormat="1"/>
    <row r="1157" s="2" customFormat="1"/>
    <row r="1158" s="2" customFormat="1"/>
    <row r="1159" s="2" customFormat="1"/>
    <row r="1160" s="2" customFormat="1"/>
    <row r="1161" s="2" customFormat="1"/>
    <row r="1162" s="2" customFormat="1"/>
    <row r="1163" s="2" customFormat="1"/>
    <row r="1164" s="2" customFormat="1"/>
    <row r="1165" s="2" customFormat="1"/>
    <row r="1166" s="2" customFormat="1"/>
    <row r="1167" s="2" customFormat="1"/>
    <row r="1168" s="2" customFormat="1"/>
    <row r="1169" s="2" customFormat="1"/>
    <row r="1170" s="2" customFormat="1"/>
    <row r="1171" s="2" customFormat="1"/>
    <row r="1172" s="2" customFormat="1"/>
    <row r="1173" s="2" customFormat="1"/>
    <row r="1174" s="2" customFormat="1"/>
    <row r="1175" s="2" customFormat="1"/>
    <row r="1176" s="2" customFormat="1"/>
    <row r="1177" s="2" customFormat="1"/>
    <row r="1178" s="2" customFormat="1"/>
    <row r="1179" s="2" customFormat="1"/>
    <row r="1180" s="2" customFormat="1"/>
    <row r="1181" s="2" customFormat="1"/>
    <row r="1182" s="2" customFormat="1"/>
    <row r="1183" s="2" customFormat="1"/>
    <row r="1184" s="2" customFormat="1"/>
    <row r="1185" s="2" customFormat="1"/>
    <row r="1186" s="2" customFormat="1"/>
    <row r="1187" s="2" customFormat="1"/>
    <row r="1188" s="2" customFormat="1"/>
    <row r="1189" s="2" customFormat="1"/>
    <row r="1190" s="2" customFormat="1"/>
    <row r="1191" s="2" customFormat="1"/>
    <row r="1192" s="2" customFormat="1"/>
    <row r="1193" s="2" customFormat="1"/>
    <row r="1194" s="2" customFormat="1"/>
    <row r="1195" s="2" customFormat="1"/>
    <row r="1196" s="2" customFormat="1"/>
    <row r="1197" s="2" customFormat="1"/>
    <row r="1198" s="2" customFormat="1"/>
    <row r="1199" s="2" customFormat="1"/>
    <row r="1200" s="2" customFormat="1"/>
    <row r="1201" s="2" customFormat="1"/>
    <row r="1202" s="2" customFormat="1"/>
    <row r="1203" s="2" customFormat="1"/>
    <row r="1204" s="2" customFormat="1"/>
    <row r="1205" s="2" customFormat="1"/>
    <row r="1206" s="2" customFormat="1"/>
    <row r="1207" s="2" customFormat="1"/>
    <row r="1208" s="2" customFormat="1"/>
    <row r="1209" s="2" customFormat="1"/>
    <row r="1210" s="2" customFormat="1"/>
    <row r="1211" s="2" customFormat="1"/>
    <row r="1212" s="2" customFormat="1"/>
    <row r="1213" s="2" customFormat="1"/>
    <row r="1214" s="2" customFormat="1"/>
    <row r="1215" s="2" customFormat="1"/>
    <row r="1216" s="2" customFormat="1"/>
    <row r="1217" s="2" customFormat="1"/>
    <row r="1218" s="2" customFormat="1"/>
    <row r="1219" s="2" customFormat="1"/>
    <row r="1220" s="2" customFormat="1"/>
    <row r="1221" s="2" customFormat="1"/>
    <row r="1222" s="2" customFormat="1"/>
    <row r="1223" s="2" customFormat="1"/>
    <row r="1224" s="2" customFormat="1"/>
    <row r="1225" s="2" customFormat="1"/>
    <row r="1226" s="2" customFormat="1"/>
    <row r="1227" s="2" customFormat="1"/>
    <row r="1228" s="2" customFormat="1"/>
    <row r="1229" s="2" customFormat="1"/>
    <row r="1230" s="2" customFormat="1"/>
    <row r="1231" s="2" customFormat="1"/>
    <row r="1232" s="2" customFormat="1"/>
    <row r="1233" s="2" customFormat="1"/>
    <row r="1234" s="2" customFormat="1"/>
    <row r="1235" s="2" customFormat="1"/>
    <row r="1236" s="2" customFormat="1"/>
    <row r="1237" s="2" customFormat="1"/>
    <row r="1238" s="2" customFormat="1"/>
    <row r="1239" s="2" customFormat="1"/>
    <row r="1240" s="2" customFormat="1"/>
    <row r="1241" s="2" customFormat="1"/>
    <row r="1242" s="2" customFormat="1"/>
    <row r="1243" s="2" customFormat="1"/>
    <row r="1244" s="2" customFormat="1"/>
    <row r="1245" s="2" customFormat="1"/>
    <row r="1246" s="2" customFormat="1"/>
    <row r="1247" s="2" customFormat="1"/>
    <row r="1248" s="2" customFormat="1"/>
    <row r="1249" s="2" customFormat="1"/>
    <row r="1250" s="2" customFormat="1"/>
    <row r="1251" s="2" customFormat="1"/>
    <row r="1252" s="2" customFormat="1"/>
    <row r="1253" s="2" customFormat="1"/>
    <row r="1254" s="2" customFormat="1"/>
    <row r="1255" s="2" customFormat="1"/>
    <row r="1256" s="2" customFormat="1"/>
    <row r="1257" s="2" customFormat="1"/>
    <row r="1258" s="2" customFormat="1"/>
    <row r="1259" s="2" customFormat="1"/>
    <row r="1260" s="2" customFormat="1"/>
    <row r="1261" s="2" customFormat="1"/>
    <row r="1262" s="2" customFormat="1"/>
    <row r="1263" s="2" customFormat="1"/>
    <row r="1264" s="2" customFormat="1"/>
    <row r="1265" s="2" customFormat="1"/>
    <row r="1266" s="2" customFormat="1"/>
    <row r="1267" s="2" customFormat="1"/>
    <row r="1268" s="2" customFormat="1"/>
    <row r="1269" s="2" customFormat="1"/>
    <row r="1270" s="2" customFormat="1"/>
    <row r="1271" s="2" customFormat="1"/>
    <row r="1272" s="2" customFormat="1"/>
    <row r="1273" s="2" customFormat="1"/>
    <row r="1274" s="2" customFormat="1"/>
    <row r="1275" s="2" customFormat="1"/>
    <row r="1276" s="2" customFormat="1"/>
    <row r="1277" s="2" customFormat="1"/>
    <row r="1278" s="2" customFormat="1"/>
    <row r="1279" s="2" customFormat="1"/>
    <row r="1280" s="2" customFormat="1"/>
    <row r="1281" s="2" customFormat="1"/>
    <row r="1282" s="2" customFormat="1"/>
    <row r="1283" s="2" customFormat="1"/>
    <row r="1284" s="2" customFormat="1"/>
    <row r="1285" s="2" customFormat="1"/>
    <row r="1286" s="2" customFormat="1"/>
    <row r="1287" s="2" customFormat="1"/>
    <row r="1288" s="2" customFormat="1"/>
    <row r="1289" s="2" customFormat="1"/>
    <row r="1290" s="2" customFormat="1"/>
    <row r="1291" s="2" customFormat="1"/>
    <row r="1292" s="2" customFormat="1"/>
    <row r="1293" s="2" customFormat="1"/>
    <row r="1294" s="2" customFormat="1"/>
    <row r="1295" s="2" customFormat="1"/>
    <row r="1296" s="2" customFormat="1"/>
    <row r="1297" s="2" customFormat="1"/>
    <row r="1298" s="2" customFormat="1"/>
    <row r="1299" s="2" customFormat="1"/>
    <row r="1300" s="2" customFormat="1"/>
    <row r="1301" s="2" customFormat="1"/>
    <row r="1302" s="2" customFormat="1"/>
    <row r="1303" s="2" customFormat="1"/>
    <row r="1304" s="2" customFormat="1"/>
    <row r="1305" s="2" customFormat="1"/>
    <row r="1306" s="2" customFormat="1"/>
    <row r="1307" s="2" customFormat="1"/>
    <row r="1308" s="2" customFormat="1"/>
    <row r="1309" s="2" customFormat="1"/>
    <row r="1310" s="2" customFormat="1"/>
    <row r="1311" s="2" customFormat="1"/>
    <row r="1312" s="2" customFormat="1"/>
    <row r="1313" s="2" customFormat="1"/>
    <row r="1314" s="2" customFormat="1"/>
    <row r="1315" s="2" customFormat="1"/>
    <row r="1316" s="2" customFormat="1"/>
    <row r="1317" s="2" customFormat="1"/>
    <row r="1318" s="2" customFormat="1"/>
    <row r="1319" s="2" customFormat="1"/>
    <row r="1320" s="2" customFormat="1"/>
    <row r="1321" s="2" customFormat="1"/>
    <row r="1322" s="2" customFormat="1"/>
    <row r="1323" s="2" customFormat="1"/>
    <row r="1324" s="2" customFormat="1"/>
    <row r="1325" s="2" customFormat="1"/>
    <row r="1326" s="2" customFormat="1"/>
    <row r="1327" s="2" customFormat="1"/>
    <row r="1328" s="2" customFormat="1"/>
    <row r="1329" s="2" customFormat="1"/>
    <row r="1330" s="2" customFormat="1"/>
    <row r="1331" s="2" customFormat="1"/>
    <row r="1332" s="2" customFormat="1"/>
    <row r="1333" s="2" customFormat="1"/>
    <row r="1334" s="2" customFormat="1"/>
    <row r="1335" s="2" customFormat="1"/>
    <row r="1336" s="2" customFormat="1"/>
    <row r="1337" s="2" customFormat="1"/>
    <row r="1338" s="2" customFormat="1"/>
    <row r="1339" s="2" customFormat="1"/>
    <row r="1340" s="2" customFormat="1"/>
    <row r="1341" s="2" customFormat="1"/>
    <row r="1342" s="2" customFormat="1"/>
    <row r="1343" s="2" customFormat="1"/>
    <row r="1344" s="2" customFormat="1"/>
    <row r="1345" s="2" customFormat="1"/>
    <row r="1346" s="2" customFormat="1"/>
    <row r="1347" s="2" customFormat="1"/>
    <row r="1348" s="2" customFormat="1"/>
    <row r="1349" s="2" customFormat="1"/>
    <row r="1350" s="2" customFormat="1"/>
    <row r="1351" s="2" customFormat="1"/>
    <row r="1352" s="2" customFormat="1"/>
    <row r="1353" s="2" customFormat="1"/>
    <row r="1354" s="2" customFormat="1"/>
    <row r="1355" s="2" customFormat="1"/>
    <row r="1356" s="2" customFormat="1"/>
    <row r="1357" s="2" customFormat="1"/>
    <row r="1358" s="2" customFormat="1"/>
    <row r="1359" s="2" customFormat="1"/>
    <row r="1360" s="2" customFormat="1"/>
    <row r="1361" s="2" customFormat="1"/>
    <row r="1362" s="2" customFormat="1"/>
    <row r="1363" s="2" customFormat="1"/>
    <row r="1364" s="2" customFormat="1"/>
    <row r="1365" s="2" customFormat="1"/>
    <row r="1366" s="2" customFormat="1"/>
    <row r="1367" s="2" customFormat="1"/>
    <row r="1368" s="2" customFormat="1"/>
    <row r="1369" s="2" customFormat="1"/>
    <row r="1370" s="2" customFormat="1"/>
    <row r="1371" s="2" customFormat="1"/>
    <row r="1372" s="2" customFormat="1"/>
    <row r="1373" s="2" customFormat="1"/>
    <row r="1374" s="2" customFormat="1"/>
    <row r="1375" s="2" customFormat="1"/>
    <row r="1376" s="2" customFormat="1"/>
    <row r="1377" s="2" customFormat="1"/>
    <row r="1378" s="2" customFormat="1"/>
    <row r="1379" s="2" customFormat="1"/>
    <row r="1380" s="2" customFormat="1"/>
    <row r="1381" s="2" customFormat="1"/>
    <row r="1382" s="2" customFormat="1"/>
    <row r="1383" s="2" customFormat="1"/>
    <row r="1384" s="2" customFormat="1"/>
    <row r="1385" s="2" customFormat="1"/>
    <row r="1386" s="2" customFormat="1"/>
    <row r="1387" s="2" customFormat="1"/>
    <row r="1388" s="2" customFormat="1"/>
    <row r="1389" s="2" customFormat="1"/>
    <row r="1390" s="2" customFormat="1"/>
    <row r="1391" s="2" customFormat="1"/>
    <row r="1392" s="2" customFormat="1"/>
    <row r="1393" s="2" customFormat="1"/>
    <row r="1394" s="2" customFormat="1"/>
    <row r="1395" s="2" customFormat="1"/>
    <row r="1396" s="2" customFormat="1"/>
    <row r="1397" s="2" customFormat="1"/>
    <row r="1398" s="2" customFormat="1"/>
    <row r="1399" s="2" customFormat="1"/>
    <row r="1400" s="2" customFormat="1"/>
    <row r="1401" s="2" customFormat="1"/>
    <row r="1402" s="2" customFormat="1"/>
    <row r="1403" s="2" customFormat="1"/>
    <row r="1404" s="2" customFormat="1"/>
    <row r="1405" s="2" customFormat="1"/>
    <row r="1406" s="2" customFormat="1"/>
    <row r="1407" s="2" customFormat="1"/>
    <row r="1408" s="2" customFormat="1"/>
    <row r="1409" s="2" customFormat="1"/>
    <row r="1410" s="2" customFormat="1"/>
    <row r="1411" s="2" customFormat="1"/>
    <row r="1412" s="2" customFormat="1"/>
    <row r="1413" s="2" customFormat="1"/>
    <row r="1414" s="2" customFormat="1"/>
    <row r="1415" s="2" customFormat="1"/>
    <row r="1416" s="2" customFormat="1"/>
    <row r="1417" s="2" customFormat="1"/>
    <row r="1418" s="2" customFormat="1"/>
    <row r="1419" s="2" customFormat="1"/>
    <row r="1420" s="2" customFormat="1"/>
    <row r="1421" s="2" customFormat="1"/>
    <row r="1422" s="2" customFormat="1"/>
    <row r="1423" s="2" customFormat="1"/>
    <row r="1424" s="2" customFormat="1"/>
    <row r="1425" s="2" customFormat="1"/>
    <row r="1426" s="2" customFormat="1"/>
    <row r="1427" s="2" customFormat="1"/>
    <row r="1428" s="2" customFormat="1"/>
    <row r="1429" s="2" customFormat="1"/>
    <row r="1430" s="2" customFormat="1"/>
    <row r="1431" s="2" customFormat="1"/>
    <row r="1432" s="2" customFormat="1"/>
    <row r="1433" s="2" customFormat="1"/>
    <row r="1434" s="2" customFormat="1"/>
    <row r="1435" s="2" customFormat="1"/>
    <row r="1436" s="2" customFormat="1"/>
    <row r="1437" s="2" customFormat="1"/>
    <row r="1438" s="2" customFormat="1"/>
    <row r="1439" s="2" customFormat="1"/>
    <row r="1440" s="2" customFormat="1"/>
    <row r="1441" s="2" customFormat="1"/>
    <row r="1442" s="2" customFormat="1"/>
    <row r="1443" s="2" customFormat="1"/>
    <row r="1444" s="2" customFormat="1"/>
    <row r="1445" s="2" customFormat="1"/>
    <row r="1446" s="2" customFormat="1"/>
    <row r="1447" s="2" customFormat="1"/>
    <row r="1448" s="2" customFormat="1"/>
    <row r="1449" s="2" customFormat="1"/>
    <row r="1450" s="2" customFormat="1"/>
    <row r="1451" s="2" customFormat="1"/>
    <row r="1452" s="2" customFormat="1"/>
    <row r="1453" s="2" customFormat="1"/>
    <row r="1454" s="2" customFormat="1"/>
    <row r="1455" s="2" customFormat="1"/>
    <row r="1456" s="2" customFormat="1"/>
    <row r="1457" s="2" customFormat="1"/>
    <row r="1458" s="2" customFormat="1"/>
    <row r="1459" s="2" customFormat="1"/>
    <row r="1460" s="2" customFormat="1"/>
    <row r="1461" s="2" customFormat="1"/>
    <row r="1462" s="2" customFormat="1"/>
    <row r="1463" s="2" customFormat="1"/>
    <row r="1464" s="2" customFormat="1"/>
    <row r="1465" s="2" customFormat="1"/>
    <row r="1466" s="2" customFormat="1"/>
    <row r="1467" s="2" customFormat="1"/>
    <row r="1468" s="2" customFormat="1"/>
    <row r="1469" s="2" customFormat="1"/>
    <row r="1470" s="2" customFormat="1"/>
    <row r="1471" s="2" customFormat="1"/>
    <row r="1472" s="2" customFormat="1"/>
    <row r="1473" s="2" customFormat="1"/>
    <row r="1474" s="2" customFormat="1"/>
    <row r="1475" s="2" customFormat="1"/>
    <row r="1476" s="2" customFormat="1"/>
    <row r="1477" s="2" customFormat="1"/>
    <row r="1478" s="2" customFormat="1"/>
    <row r="1479" s="2" customFormat="1"/>
    <row r="1480" s="2" customFormat="1"/>
    <row r="1481" s="2" customFormat="1"/>
    <row r="1482" s="2" customFormat="1"/>
    <row r="1483" s="2" customFormat="1"/>
    <row r="1484" s="2" customFormat="1"/>
    <row r="1485" s="2" customFormat="1"/>
    <row r="1486" s="2" customFormat="1"/>
    <row r="1487" s="2" customFormat="1"/>
    <row r="1488" s="2" customFormat="1"/>
    <row r="1489" s="2" customFormat="1"/>
    <row r="1490" s="2" customFormat="1"/>
    <row r="1491" s="2" customFormat="1"/>
    <row r="1492" s="2" customFormat="1"/>
    <row r="1493" s="2" customFormat="1"/>
    <row r="1494" s="2" customFormat="1"/>
    <row r="1495" s="2" customFormat="1"/>
    <row r="1496" s="2" customFormat="1"/>
    <row r="1497" s="2" customFormat="1"/>
    <row r="1498" s="2" customFormat="1"/>
    <row r="1499" s="2" customFormat="1"/>
    <row r="1500" s="2" customFormat="1"/>
    <row r="1501" s="2" customFormat="1"/>
    <row r="1502" s="2" customFormat="1"/>
    <row r="1503" s="2" customFormat="1"/>
    <row r="1504" s="2" customFormat="1"/>
    <row r="1505" s="2" customFormat="1"/>
    <row r="1506" s="2" customFormat="1"/>
    <row r="1507" s="2" customFormat="1"/>
    <row r="1508" s="2" customFormat="1"/>
    <row r="1509" s="2" customFormat="1"/>
    <row r="1510" s="2" customFormat="1"/>
    <row r="1511" s="2" customFormat="1"/>
    <row r="1512" s="2" customFormat="1"/>
    <row r="1513" s="2" customFormat="1"/>
    <row r="1514" s="2" customFormat="1"/>
    <row r="1515" s="2" customFormat="1"/>
    <row r="1516" s="2" customFormat="1"/>
    <row r="1517" s="2" customFormat="1"/>
    <row r="1518" s="2" customFormat="1"/>
    <row r="1519" s="2" customFormat="1"/>
    <row r="1520" s="2" customFormat="1"/>
    <row r="1521" s="2" customFormat="1"/>
    <row r="1522" s="2" customFormat="1"/>
    <row r="1523" s="2" customFormat="1"/>
    <row r="1524" s="2" customFormat="1"/>
    <row r="1525" s="2" customFormat="1"/>
    <row r="1526" s="2" customFormat="1"/>
    <row r="1527" s="2" customFormat="1"/>
    <row r="1528" s="2" customFormat="1"/>
    <row r="1529" s="2" customFormat="1"/>
    <row r="1530" s="2" customFormat="1"/>
    <row r="1531" s="2" customFormat="1"/>
    <row r="1532" s="2" customFormat="1"/>
    <row r="1533" s="2" customFormat="1"/>
    <row r="1534" s="2" customFormat="1"/>
    <row r="1535" s="2" customFormat="1"/>
    <row r="1536" s="2" customFormat="1"/>
    <row r="1537" s="2" customFormat="1"/>
    <row r="1538" s="2" customFormat="1"/>
    <row r="1539" s="2" customFormat="1"/>
    <row r="1540" s="2" customFormat="1"/>
    <row r="1541" s="2" customFormat="1"/>
    <row r="1542" s="2" customFormat="1"/>
    <row r="1543" s="2" customFormat="1"/>
    <row r="1544" s="2" customFormat="1"/>
    <row r="1545" s="2" customFormat="1"/>
    <row r="1546" s="2" customFormat="1"/>
    <row r="1547" s="2" customFormat="1"/>
    <row r="1548" s="2" customFormat="1"/>
    <row r="1549" s="2" customFormat="1"/>
    <row r="1550" s="2" customFormat="1"/>
    <row r="1551" s="2" customFormat="1"/>
    <row r="1552" s="2" customFormat="1"/>
    <row r="1553" s="2" customFormat="1"/>
    <row r="1554" s="2" customFormat="1"/>
    <row r="1555" s="2" customFormat="1"/>
    <row r="1556" s="2" customFormat="1"/>
    <row r="1557" s="2" customFormat="1"/>
    <row r="1558" s="2" customFormat="1"/>
    <row r="1559" s="2" customFormat="1"/>
    <row r="1560" s="2" customFormat="1"/>
    <row r="1561" s="2" customFormat="1"/>
    <row r="1562" s="2" customFormat="1"/>
    <row r="1563" s="2" customFormat="1"/>
    <row r="1564" s="2" customFormat="1"/>
    <row r="1565" s="2" customFormat="1"/>
    <row r="1566" s="2" customFormat="1"/>
    <row r="1567" s="2" customFormat="1"/>
    <row r="1568" s="2" customFormat="1"/>
    <row r="1569" s="2" customFormat="1"/>
    <row r="1570" s="2" customFormat="1"/>
    <row r="1571" s="2" customFormat="1"/>
    <row r="1572" s="2" customFormat="1"/>
    <row r="1573" s="2" customFormat="1"/>
    <row r="1574" s="2" customFormat="1"/>
    <row r="1575" s="2" customFormat="1"/>
    <row r="1576" s="2" customFormat="1"/>
    <row r="1577" s="2" customFormat="1"/>
    <row r="1578" s="2" customFormat="1"/>
    <row r="1579" s="2" customFormat="1"/>
    <row r="1580" s="2" customFormat="1"/>
    <row r="1581" s="2" customFormat="1"/>
    <row r="1582" s="2" customFormat="1"/>
    <row r="1583" s="2" customFormat="1"/>
    <row r="1584" s="2" customFormat="1"/>
    <row r="1585" s="2" customFormat="1"/>
    <row r="1586" s="2" customFormat="1"/>
    <row r="1587" s="2" customFormat="1"/>
    <row r="1588" s="2" customFormat="1"/>
    <row r="1589" s="2" customFormat="1"/>
    <row r="1590" s="2" customFormat="1"/>
    <row r="1591" s="2" customFormat="1"/>
    <row r="1592" s="2" customFormat="1"/>
    <row r="1593" s="2" customFormat="1"/>
    <row r="1594" s="2" customFormat="1"/>
    <row r="1595" s="2" customFormat="1"/>
    <row r="1596" s="2" customFormat="1"/>
    <row r="1597" s="2" customFormat="1"/>
    <row r="1598" s="2" customFormat="1"/>
    <row r="1599" s="2" customFormat="1"/>
    <row r="1600" s="2" customFormat="1"/>
    <row r="1601" s="2" customFormat="1"/>
    <row r="1602" s="2" customFormat="1"/>
    <row r="1603" s="2" customFormat="1"/>
    <row r="1604" s="2" customFormat="1"/>
    <row r="1605" s="2" customFormat="1"/>
    <row r="1606" s="2" customFormat="1"/>
    <row r="1607" s="2" customFormat="1"/>
    <row r="1608" s="2" customFormat="1"/>
    <row r="1609" s="2" customFormat="1"/>
    <row r="1610" s="2" customFormat="1"/>
    <row r="1611" s="2" customFormat="1"/>
    <row r="1612" s="2" customFormat="1"/>
    <row r="1613" s="2" customFormat="1"/>
    <row r="1614" s="2" customFormat="1"/>
    <row r="1615" s="2" customFormat="1"/>
    <row r="1616" s="2" customFormat="1"/>
    <row r="1617" s="2" customFormat="1"/>
    <row r="1618" s="2" customFormat="1"/>
    <row r="1619" s="2" customFormat="1"/>
    <row r="1620" s="2" customFormat="1"/>
    <row r="1621" s="2" customFormat="1"/>
    <row r="1622" s="2" customFormat="1"/>
    <row r="1623" s="2" customFormat="1"/>
    <row r="1624" s="2" customFormat="1"/>
    <row r="1625" s="2" customFormat="1"/>
    <row r="1626" s="2" customFormat="1"/>
    <row r="1627" s="2" customFormat="1"/>
    <row r="1628" s="2" customFormat="1"/>
    <row r="1629" s="2" customFormat="1"/>
    <row r="1630" s="2" customFormat="1"/>
    <row r="1631" s="2" customFormat="1"/>
    <row r="1632" s="2" customFormat="1"/>
    <row r="1633" s="2" customFormat="1"/>
    <row r="1634" s="2" customFormat="1"/>
    <row r="1635" s="2" customFormat="1"/>
    <row r="1636" s="2" customFormat="1"/>
    <row r="1637" s="2" customFormat="1"/>
    <row r="1638" s="2" customFormat="1"/>
    <row r="1639" s="2" customFormat="1"/>
    <row r="1640" s="2" customFormat="1"/>
    <row r="1641" s="2" customFormat="1"/>
    <row r="1642" s="2" customFormat="1"/>
    <row r="1643" s="2" customFormat="1"/>
    <row r="1644" s="2" customFormat="1"/>
    <row r="1645" s="2" customFormat="1"/>
    <row r="1646" s="2" customFormat="1"/>
    <row r="1647" s="2" customFormat="1"/>
    <row r="1648" s="2" customFormat="1"/>
    <row r="1649" s="2" customFormat="1"/>
    <row r="1650" s="2" customFormat="1"/>
    <row r="1651" s="2" customFormat="1"/>
    <row r="1652" s="2" customFormat="1"/>
    <row r="1653" s="2" customFormat="1"/>
    <row r="1654" s="2" customFormat="1"/>
    <row r="1655" s="2" customFormat="1"/>
    <row r="1656" s="2" customFormat="1"/>
    <row r="1657" s="2" customFormat="1"/>
    <row r="1658" s="2" customFormat="1"/>
    <row r="1659" s="2" customFormat="1"/>
    <row r="1660" s="2" customFormat="1"/>
    <row r="1661" s="2" customFormat="1"/>
    <row r="1662" s="2" customFormat="1"/>
    <row r="1663" s="2" customFormat="1"/>
    <row r="1664" s="2" customFormat="1"/>
    <row r="1665" s="2" customFormat="1"/>
    <row r="1666" s="2" customFormat="1"/>
    <row r="1667" s="2" customFormat="1"/>
    <row r="1668" s="2" customFormat="1"/>
    <row r="1669" s="2" customFormat="1"/>
    <row r="1670" s="2" customFormat="1"/>
    <row r="1671" s="2" customFormat="1"/>
    <row r="1672" s="2" customFormat="1"/>
    <row r="1673" s="2" customFormat="1"/>
    <row r="1674" s="2" customFormat="1"/>
    <row r="1675" s="2" customFormat="1"/>
    <row r="1676" s="2" customFormat="1"/>
    <row r="1677" s="2" customFormat="1"/>
    <row r="1678" s="2" customFormat="1"/>
    <row r="1679" s="2" customFormat="1"/>
    <row r="1680" s="2" customFormat="1"/>
    <row r="1681" s="2" customFormat="1"/>
    <row r="1682" s="2" customFormat="1"/>
    <row r="1683" s="2" customFormat="1"/>
    <row r="1684" s="2" customFormat="1"/>
    <row r="1685" s="2" customFormat="1"/>
    <row r="1686" s="2" customFormat="1"/>
    <row r="1687" s="2" customFormat="1"/>
    <row r="1688" s="2" customFormat="1"/>
    <row r="1689" s="2" customFormat="1"/>
    <row r="1690" s="2" customFormat="1"/>
    <row r="1691" s="2" customFormat="1"/>
    <row r="1692" s="2" customFormat="1"/>
    <row r="1693" s="2" customFormat="1"/>
    <row r="1694" s="2" customFormat="1"/>
    <row r="1695" s="2" customFormat="1"/>
    <row r="1696" s="2" customFormat="1"/>
    <row r="1697" s="2" customFormat="1"/>
    <row r="1698" s="2" customFormat="1"/>
    <row r="1699" s="2" customFormat="1"/>
    <row r="1700" s="2" customFormat="1"/>
    <row r="1701" s="2" customFormat="1"/>
    <row r="1702" s="2" customFormat="1"/>
    <row r="1703" s="2" customFormat="1"/>
    <row r="1704" s="2" customFormat="1"/>
    <row r="1705" s="2" customFormat="1"/>
    <row r="1706" s="2" customFormat="1"/>
    <row r="1707" s="2" customFormat="1"/>
    <row r="1708" s="2" customFormat="1"/>
    <row r="1709" s="2" customFormat="1"/>
    <row r="1710" s="2" customFormat="1"/>
    <row r="1711" s="2" customFormat="1"/>
    <row r="1712" s="2" customFormat="1"/>
    <row r="1713" s="2" customFormat="1"/>
    <row r="1714" s="2" customFormat="1"/>
    <row r="1715" s="2" customFormat="1"/>
    <row r="1716" s="2" customFormat="1"/>
    <row r="1717" s="2" customFormat="1"/>
    <row r="1718" s="2" customFormat="1"/>
    <row r="1719" s="2" customFormat="1"/>
    <row r="1720" s="2" customFormat="1"/>
    <row r="1721" s="2" customFormat="1"/>
    <row r="1722" s="2" customFormat="1"/>
    <row r="1723" s="2" customFormat="1"/>
    <row r="1724" s="2" customFormat="1"/>
    <row r="1725" s="2" customFormat="1"/>
    <row r="1726" s="2" customFormat="1"/>
    <row r="1727" s="2" customFormat="1"/>
    <row r="1728" s="2" customFormat="1"/>
    <row r="1729" s="2" customFormat="1"/>
    <row r="1730" s="2" customFormat="1"/>
    <row r="1731" s="2" customFormat="1"/>
    <row r="1732" s="2" customFormat="1"/>
    <row r="1733" s="2" customFormat="1"/>
    <row r="1734" s="2" customFormat="1"/>
    <row r="1735" s="2" customFormat="1"/>
    <row r="1736" s="2" customFormat="1"/>
    <row r="1737" s="2" customFormat="1"/>
    <row r="1738" s="2" customFormat="1"/>
    <row r="1739" s="2" customFormat="1"/>
    <row r="1740" s="2" customFormat="1"/>
    <row r="1741" s="2" customFormat="1"/>
    <row r="1742" s="2" customFormat="1"/>
    <row r="1743" s="2" customFormat="1"/>
    <row r="1744" s="2" customFormat="1"/>
    <row r="1745" s="2" customFormat="1"/>
    <row r="1746" s="2" customFormat="1"/>
    <row r="1747" s="2" customFormat="1"/>
    <row r="1748" s="2" customFormat="1"/>
    <row r="1749" s="2" customFormat="1"/>
    <row r="1750" s="2" customFormat="1"/>
    <row r="1751" s="2" customFormat="1"/>
    <row r="1752" s="2" customFormat="1"/>
    <row r="1753" s="2" customFormat="1"/>
    <row r="1754" s="2" customFormat="1"/>
    <row r="1755" s="2" customFormat="1"/>
    <row r="1756" s="2" customFormat="1"/>
    <row r="1757" s="2" customFormat="1"/>
    <row r="1758" s="2" customFormat="1"/>
    <row r="1759" s="2" customFormat="1"/>
    <row r="1760" s="2" customFormat="1"/>
    <row r="1761" s="2" customFormat="1"/>
    <row r="1762" s="2" customFormat="1"/>
    <row r="1763" s="2" customFormat="1"/>
    <row r="1764" s="2" customFormat="1"/>
    <row r="1765" s="2" customFormat="1"/>
    <row r="1766" s="2" customFormat="1"/>
    <row r="1767" s="2" customFormat="1"/>
    <row r="1768" s="2" customFormat="1"/>
    <row r="1769" s="2" customFormat="1"/>
    <row r="1770" s="2" customFormat="1"/>
    <row r="1771" s="2" customFormat="1"/>
    <row r="1772" s="2" customFormat="1"/>
    <row r="1773" s="2" customFormat="1"/>
    <row r="1774" s="2" customFormat="1"/>
    <row r="1775" s="2" customFormat="1"/>
    <row r="1776" s="2" customFormat="1"/>
    <row r="1777" s="2" customFormat="1"/>
    <row r="1778" s="2" customFormat="1"/>
    <row r="1779" s="2" customFormat="1"/>
    <row r="1780" s="2" customFormat="1"/>
    <row r="1781" s="2" customFormat="1"/>
    <row r="1782" s="2" customFormat="1"/>
    <row r="1783" s="2" customFormat="1"/>
    <row r="1784" s="2" customFormat="1"/>
    <row r="1785" s="2" customFormat="1"/>
    <row r="1786" s="2" customFormat="1"/>
    <row r="1787" s="2" customFormat="1"/>
    <row r="1788" s="2" customFormat="1"/>
    <row r="1789" s="2" customFormat="1"/>
    <row r="1790" s="2" customFormat="1"/>
    <row r="1791" s="2" customFormat="1"/>
    <row r="1792" s="2" customFormat="1"/>
    <row r="1793" s="2" customFormat="1"/>
    <row r="1794" s="2" customFormat="1"/>
    <row r="1795" s="2" customFormat="1"/>
    <row r="1796" s="2" customFormat="1"/>
    <row r="1797" s="2" customFormat="1"/>
    <row r="1798" s="2" customFormat="1"/>
    <row r="1799" s="2" customFormat="1"/>
    <row r="1800" s="2" customFormat="1"/>
    <row r="1801" s="2" customFormat="1"/>
    <row r="1802" s="2" customFormat="1"/>
    <row r="1803" s="2" customFormat="1"/>
    <row r="1804" s="2" customFormat="1"/>
    <row r="1805" s="2" customFormat="1"/>
    <row r="1806" s="2" customFormat="1"/>
    <row r="1807" s="2" customFormat="1"/>
    <row r="1808" s="2" customFormat="1"/>
    <row r="1809" s="2" customFormat="1"/>
    <row r="1810" s="2" customFormat="1"/>
    <row r="1811" s="2" customFormat="1"/>
    <row r="1812" s="2" customFormat="1"/>
    <row r="1813" s="2" customFormat="1"/>
    <row r="1814" s="2" customFormat="1"/>
    <row r="1815" s="2" customFormat="1"/>
    <row r="1816" s="2" customFormat="1"/>
    <row r="1817" s="2" customFormat="1"/>
    <row r="1818" s="2" customFormat="1"/>
    <row r="1819" s="2" customFormat="1"/>
    <row r="1820" s="2" customFormat="1"/>
    <row r="1821" s="2" customFormat="1"/>
    <row r="1822" s="2" customFormat="1"/>
    <row r="1823" s="2" customFormat="1"/>
    <row r="1824" s="2" customFormat="1"/>
    <row r="1825" s="2" customFormat="1"/>
    <row r="1826" s="2" customFormat="1"/>
    <row r="1827" s="2" customFormat="1"/>
    <row r="1828" s="2" customFormat="1"/>
    <row r="1829" s="2" customFormat="1"/>
    <row r="1830" s="2" customFormat="1"/>
    <row r="1831" s="2" customFormat="1"/>
    <row r="1832" s="2" customFormat="1"/>
    <row r="1833" s="2" customFormat="1"/>
    <row r="1834" s="2" customFormat="1"/>
    <row r="1835" s="2" customFormat="1"/>
    <row r="1836" s="2" customFormat="1"/>
    <row r="1837" s="2" customFormat="1"/>
    <row r="1838" s="2" customFormat="1"/>
    <row r="1839" s="2" customFormat="1"/>
    <row r="1840" s="2" customFormat="1"/>
    <row r="1841" s="2" customFormat="1"/>
    <row r="1842" s="2" customFormat="1"/>
    <row r="1843" s="2" customFormat="1"/>
    <row r="1844" s="2" customFormat="1"/>
    <row r="1845" s="2" customFormat="1"/>
    <row r="1846" s="2" customFormat="1"/>
    <row r="1847" s="2" customFormat="1"/>
    <row r="1848" s="2" customFormat="1"/>
    <row r="1849" s="2" customFormat="1"/>
    <row r="1850" s="2" customFormat="1"/>
    <row r="1851" s="2" customFormat="1"/>
    <row r="1852" s="2" customFormat="1"/>
    <row r="1853" s="2" customFormat="1"/>
    <row r="1854" s="2" customFormat="1"/>
    <row r="1855" s="2" customFormat="1"/>
    <row r="1856" s="2" customFormat="1"/>
    <row r="1857" s="2" customFormat="1"/>
    <row r="1858" s="2" customFormat="1"/>
    <row r="1859" s="2" customFormat="1"/>
    <row r="1860" s="2" customFormat="1"/>
    <row r="1861" s="2" customFormat="1"/>
    <row r="1862" s="2" customFormat="1"/>
    <row r="1863" s="2" customFormat="1"/>
    <row r="1864" s="2" customFormat="1"/>
    <row r="1865" s="2" customFormat="1"/>
    <row r="1866" s="2" customFormat="1"/>
    <row r="1867" s="2" customFormat="1"/>
    <row r="1868" s="2" customFormat="1"/>
    <row r="1869" s="2" customFormat="1"/>
    <row r="1870" s="2" customFormat="1"/>
    <row r="1871" s="2" customFormat="1"/>
    <row r="1872" s="2" customFormat="1"/>
    <row r="1873" s="2" customFormat="1"/>
    <row r="1874" s="2" customFormat="1"/>
    <row r="1875" s="2" customFormat="1"/>
    <row r="1876" s="2" customFormat="1"/>
    <row r="1877" s="2" customFormat="1"/>
    <row r="1878" s="2" customFormat="1"/>
    <row r="1879" s="2" customFormat="1"/>
    <row r="1880" s="2" customFormat="1"/>
    <row r="1881" s="2" customFormat="1"/>
    <row r="1882" s="2" customFormat="1"/>
    <row r="1883" s="2" customFormat="1"/>
    <row r="1884" s="2" customFormat="1"/>
    <row r="1885" s="2" customFormat="1"/>
    <row r="1886" s="2" customFormat="1"/>
    <row r="1887" s="2" customFormat="1"/>
    <row r="1888" s="2" customFormat="1"/>
    <row r="1889" s="2" customFormat="1"/>
    <row r="1890" s="2" customFormat="1"/>
    <row r="1891" s="2" customFormat="1"/>
    <row r="1892" s="2" customFormat="1"/>
    <row r="1893" s="2" customFormat="1"/>
    <row r="1894" s="2" customFormat="1"/>
    <row r="1895" s="2" customFormat="1"/>
    <row r="1896" s="2" customFormat="1"/>
    <row r="1897" s="2" customFormat="1"/>
    <row r="1898" s="2" customFormat="1"/>
    <row r="1899" s="2" customFormat="1"/>
    <row r="1900" s="2" customFormat="1"/>
    <row r="1901" s="2" customFormat="1"/>
    <row r="1902" s="2" customFormat="1"/>
    <row r="1903" s="2" customFormat="1"/>
    <row r="1904" s="2" customFormat="1"/>
    <row r="1905" s="2" customFormat="1"/>
    <row r="1906" s="2" customFormat="1"/>
    <row r="1907" s="2" customFormat="1"/>
    <row r="1908" s="2" customFormat="1"/>
    <row r="1909" s="2" customFormat="1"/>
    <row r="1910" s="2" customFormat="1"/>
    <row r="1911" s="2" customFormat="1"/>
    <row r="1912" s="2" customFormat="1"/>
    <row r="1913" s="2" customFormat="1"/>
    <row r="1914" s="2" customFormat="1"/>
    <row r="1915" s="2" customFormat="1"/>
    <row r="1916" s="2" customFormat="1"/>
    <row r="1917" s="2" customFormat="1"/>
    <row r="1918" s="2" customFormat="1"/>
    <row r="1919" s="2" customFormat="1"/>
    <row r="1920" s="2" customFormat="1"/>
    <row r="1921" s="2" customFormat="1"/>
    <row r="1922" s="2" customFormat="1"/>
    <row r="1923" s="2" customFormat="1"/>
    <row r="1924" s="2" customFormat="1"/>
    <row r="1925" s="2" customFormat="1"/>
    <row r="1926" s="2" customFormat="1"/>
    <row r="1927" s="2" customFormat="1"/>
    <row r="1928" s="2" customFormat="1"/>
    <row r="1929" s="2" customFormat="1"/>
    <row r="1930" s="2" customFormat="1"/>
    <row r="1931" s="2" customFormat="1"/>
    <row r="1932" s="2" customFormat="1"/>
    <row r="1933" s="2" customFormat="1"/>
    <row r="1934" s="2" customFormat="1"/>
    <row r="1935" s="2" customFormat="1"/>
    <row r="1936" s="2" customFormat="1"/>
    <row r="1937" s="2" customFormat="1"/>
    <row r="1938" s="2" customFormat="1"/>
    <row r="1939" s="2" customFormat="1"/>
    <row r="1940" s="2" customFormat="1"/>
    <row r="1941" s="2" customFormat="1"/>
    <row r="1942" s="2" customFormat="1"/>
    <row r="1943" s="2" customFormat="1"/>
    <row r="1944" s="2" customFormat="1"/>
    <row r="1945" s="2" customFormat="1"/>
    <row r="1946" s="2" customFormat="1"/>
    <row r="1947" s="2" customFormat="1"/>
    <row r="1948" s="2" customFormat="1"/>
    <row r="1949" s="2" customFormat="1"/>
    <row r="1950" s="2" customFormat="1"/>
    <row r="1951" s="2" customFormat="1"/>
    <row r="1952" s="2" customFormat="1"/>
    <row r="1953" s="2" customFormat="1"/>
    <row r="1954" s="2" customFormat="1"/>
    <row r="1955" s="2" customFormat="1"/>
    <row r="1956" s="2" customFormat="1"/>
    <row r="1957" s="2" customFormat="1"/>
    <row r="1958" s="2" customFormat="1"/>
    <row r="1959" s="2" customFormat="1"/>
    <row r="1960" s="2" customFormat="1"/>
    <row r="1961" s="2" customFormat="1"/>
    <row r="1962" s="2" customFormat="1"/>
    <row r="1963" s="2" customFormat="1"/>
    <row r="1964" s="2" customFormat="1"/>
    <row r="1965" s="2" customFormat="1"/>
    <row r="1966" s="2" customFormat="1"/>
    <row r="1967" s="2" customFormat="1"/>
    <row r="1968" s="2" customFormat="1"/>
    <row r="1969" s="2" customFormat="1"/>
    <row r="1970" s="2" customFormat="1"/>
    <row r="1971" s="2" customFormat="1"/>
    <row r="1972" s="2" customFormat="1"/>
    <row r="1973" s="2" customFormat="1"/>
    <row r="1974" s="2" customFormat="1"/>
    <row r="1975" s="2" customFormat="1"/>
    <row r="1976" s="2" customFormat="1"/>
    <row r="1977" s="2" customFormat="1"/>
    <row r="1978" s="2" customFormat="1"/>
    <row r="1979" s="2" customFormat="1"/>
    <row r="1980" s="2" customFormat="1"/>
    <row r="1981" s="2" customFormat="1"/>
    <row r="1982" s="2" customFormat="1"/>
    <row r="1983" s="2" customFormat="1"/>
    <row r="1984" s="2" customFormat="1"/>
    <row r="1985" s="2" customFormat="1"/>
    <row r="1986" s="2" customFormat="1"/>
    <row r="1987" s="2" customFormat="1"/>
    <row r="1988" s="2" customFormat="1"/>
    <row r="1989" s="2" customFormat="1"/>
    <row r="1990" s="2" customFormat="1"/>
    <row r="1991" s="2" customFormat="1"/>
    <row r="1992" s="2" customFormat="1"/>
    <row r="1993" s="2" customFormat="1"/>
    <row r="1994" s="2" customFormat="1"/>
    <row r="1995" s="2" customFormat="1"/>
    <row r="1996" s="2" customFormat="1"/>
    <row r="1997" s="2" customFormat="1"/>
    <row r="1998" s="2" customFormat="1"/>
    <row r="1999" s="2" customFormat="1"/>
    <row r="2000" s="2" customFormat="1"/>
    <row r="2001" s="2" customFormat="1"/>
    <row r="2002" s="2" customFormat="1"/>
    <row r="2003" s="2" customFormat="1"/>
    <row r="2004" s="2" customFormat="1"/>
    <row r="2005" s="2" customFormat="1"/>
    <row r="2006" s="2" customFormat="1"/>
    <row r="2007" s="2" customFormat="1"/>
    <row r="2008" s="2" customFormat="1"/>
    <row r="2009" s="2" customFormat="1"/>
    <row r="2010" s="2" customFormat="1"/>
    <row r="2011" s="2" customFormat="1"/>
    <row r="2012" s="2" customFormat="1"/>
    <row r="2013" s="2" customFormat="1"/>
    <row r="2014" s="2" customFormat="1"/>
    <row r="2015" s="2" customFormat="1"/>
    <row r="2016" s="2" customFormat="1"/>
    <row r="2017" s="2" customFormat="1"/>
    <row r="2018" s="2" customFormat="1"/>
    <row r="2019" s="2" customFormat="1"/>
    <row r="2020" s="2" customFormat="1"/>
    <row r="2021" s="2" customFormat="1"/>
    <row r="2022" s="2" customFormat="1"/>
    <row r="2023" s="2" customFormat="1"/>
    <row r="2024" s="2" customFormat="1"/>
    <row r="2025" s="2" customFormat="1"/>
    <row r="2026" s="2" customFormat="1"/>
    <row r="2027" s="2" customFormat="1"/>
    <row r="2028" s="2" customFormat="1"/>
    <row r="2029" s="2" customFormat="1"/>
    <row r="2030" s="2" customFormat="1"/>
    <row r="2031" s="2" customFormat="1"/>
    <row r="2032" s="2" customFormat="1"/>
    <row r="2033" s="2" customFormat="1"/>
    <row r="2034" s="2" customFormat="1"/>
    <row r="2035" s="2" customFormat="1"/>
    <row r="2036" s="2" customFormat="1"/>
    <row r="2037" s="2" customFormat="1"/>
    <row r="2038" s="2" customFormat="1"/>
    <row r="2039" s="2" customFormat="1"/>
    <row r="2040" s="2" customFormat="1"/>
    <row r="2041" s="2" customFormat="1"/>
    <row r="2042" s="2" customFormat="1"/>
    <row r="2043" s="2" customFormat="1"/>
    <row r="2044" s="2" customFormat="1"/>
    <row r="2045" s="2" customFormat="1"/>
    <row r="2046" s="2" customFormat="1"/>
    <row r="2047" s="2" customFormat="1"/>
    <row r="2048" s="2" customFormat="1"/>
    <row r="2049" s="2" customFormat="1"/>
    <row r="2050" s="2" customFormat="1"/>
    <row r="2051" s="2" customFormat="1"/>
    <row r="2052" s="2" customFormat="1"/>
    <row r="2053" s="2" customFormat="1"/>
    <row r="2054" s="2" customFormat="1"/>
    <row r="2055" s="2" customFormat="1"/>
    <row r="2056" s="2" customFormat="1"/>
    <row r="2057" s="2" customFormat="1"/>
    <row r="2058" s="2" customFormat="1"/>
    <row r="2059" s="2" customFormat="1"/>
    <row r="2060" s="2" customFormat="1"/>
    <row r="2061" s="2" customFormat="1"/>
    <row r="2062" s="2" customFormat="1"/>
    <row r="2063" s="2" customFormat="1"/>
    <row r="2064" s="2" customFormat="1"/>
    <row r="2065" s="2" customFormat="1"/>
    <row r="2066" s="2" customFormat="1"/>
    <row r="2067" s="2" customFormat="1"/>
    <row r="2068" s="2" customFormat="1"/>
    <row r="2069" s="2" customFormat="1"/>
    <row r="2070" s="2" customFormat="1"/>
    <row r="2071" s="2" customFormat="1"/>
    <row r="2072" s="2" customFormat="1"/>
    <row r="2073" s="2" customFormat="1"/>
    <row r="2074" s="2" customFormat="1"/>
    <row r="2075" s="2" customFormat="1"/>
    <row r="2076" s="2" customFormat="1"/>
    <row r="2077" s="2" customFormat="1"/>
    <row r="2078" s="2" customFormat="1"/>
    <row r="2079" s="2" customFormat="1"/>
    <row r="2080" s="2" customFormat="1"/>
    <row r="2081" s="2" customFormat="1"/>
    <row r="2082" s="2" customFormat="1"/>
    <row r="2083" s="2" customFormat="1"/>
    <row r="2084" s="2" customFormat="1"/>
    <row r="2085" s="2" customFormat="1"/>
    <row r="2086" s="2" customFormat="1"/>
    <row r="2087" s="2" customFormat="1"/>
    <row r="2088" s="2" customFormat="1"/>
    <row r="2089" s="2" customFormat="1"/>
    <row r="2090" s="2" customFormat="1"/>
    <row r="2091" s="2" customFormat="1"/>
    <row r="2092" s="2" customFormat="1"/>
    <row r="2093" s="2" customFormat="1"/>
    <row r="2094" s="2" customFormat="1"/>
    <row r="2095" s="2" customFormat="1"/>
    <row r="2096" s="2" customFormat="1"/>
    <row r="2097" s="2" customFormat="1"/>
    <row r="2098" s="2" customFormat="1"/>
    <row r="2099" s="2" customFormat="1"/>
    <row r="2100" s="2" customFormat="1"/>
    <row r="2101" s="2" customFormat="1"/>
    <row r="2102" s="2" customFormat="1"/>
    <row r="2103" s="2" customFormat="1"/>
    <row r="2104" s="2" customFormat="1"/>
    <row r="2105" s="2" customFormat="1"/>
    <row r="2106" s="2" customFormat="1"/>
    <row r="2107" s="2" customFormat="1"/>
    <row r="2108" s="2" customFormat="1"/>
    <row r="2109" s="2" customFormat="1"/>
    <row r="2110" s="2" customFormat="1"/>
    <row r="2111" s="2" customFormat="1"/>
    <row r="2112" s="2" customFormat="1"/>
    <row r="2113" s="2" customFormat="1"/>
    <row r="2114" s="2" customFormat="1"/>
    <row r="2115" s="2" customFormat="1"/>
    <row r="2116" s="2" customFormat="1"/>
    <row r="2117" s="2" customFormat="1"/>
    <row r="2118" s="2" customFormat="1"/>
    <row r="2119" s="2" customFormat="1"/>
    <row r="2120" s="2" customFormat="1"/>
    <row r="2121" s="2" customFormat="1"/>
    <row r="2122" s="2" customFormat="1"/>
    <row r="2123" s="2" customFormat="1"/>
    <row r="2124" s="2" customFormat="1"/>
    <row r="2125" s="2" customFormat="1"/>
    <row r="2126" s="2" customFormat="1"/>
    <row r="2127" s="2" customFormat="1"/>
    <row r="2128" s="2" customFormat="1"/>
    <row r="2129" s="2" customFormat="1"/>
    <row r="2130" s="2" customFormat="1"/>
    <row r="2131" s="2" customFormat="1"/>
    <row r="2132" s="2" customFormat="1"/>
    <row r="2133" s="2" customFormat="1"/>
    <row r="2134" s="2" customFormat="1"/>
    <row r="2135" s="2" customFormat="1"/>
    <row r="2136" s="2" customFormat="1"/>
    <row r="2137" s="2" customFormat="1"/>
    <row r="2138" s="2" customFormat="1"/>
    <row r="2139" s="2" customFormat="1"/>
    <row r="2140" s="2" customFormat="1"/>
    <row r="2141" s="2" customFormat="1"/>
    <row r="2142" s="2" customFormat="1"/>
    <row r="2143" s="2" customFormat="1"/>
    <row r="2144" s="2" customFormat="1"/>
    <row r="2145" s="2" customFormat="1"/>
    <row r="2146" s="2" customFormat="1"/>
    <row r="2147" s="2" customFormat="1"/>
    <row r="2148" s="2" customFormat="1"/>
    <row r="2149" s="2" customFormat="1"/>
    <row r="2150" s="2" customFormat="1"/>
    <row r="2151" s="2" customFormat="1"/>
    <row r="2152" s="2" customFormat="1"/>
    <row r="2153" s="2" customFormat="1"/>
    <row r="2154" s="2" customFormat="1"/>
    <row r="2155" s="2" customFormat="1"/>
    <row r="2156" s="2" customFormat="1"/>
    <row r="2157" s="2" customFormat="1"/>
    <row r="2158" s="2" customFormat="1"/>
    <row r="2159" s="2" customFormat="1"/>
    <row r="2160" s="2" customFormat="1"/>
    <row r="2161" s="2" customFormat="1"/>
    <row r="2162" s="2" customFormat="1"/>
    <row r="2163" s="2" customFormat="1"/>
    <row r="2164" s="2" customFormat="1"/>
    <row r="2165" s="2" customFormat="1"/>
    <row r="2166" s="2" customFormat="1"/>
    <row r="2167" s="2" customFormat="1"/>
    <row r="2168" s="2" customFormat="1"/>
    <row r="2169" s="2" customFormat="1"/>
    <row r="2170" s="2" customFormat="1"/>
    <row r="2171" s="2" customFormat="1"/>
    <row r="2172" s="2" customFormat="1"/>
    <row r="2173" s="2" customFormat="1"/>
    <row r="2174" s="2" customFormat="1"/>
    <row r="2175" s="2" customFormat="1"/>
    <row r="2176" s="2" customFormat="1"/>
    <row r="2177" s="2" customFormat="1"/>
    <row r="2178" s="2" customFormat="1"/>
    <row r="2179" s="2" customFormat="1"/>
    <row r="2180" s="2" customFormat="1"/>
    <row r="2181" s="2" customFormat="1"/>
    <row r="2182" s="2" customFormat="1"/>
    <row r="2183" s="2" customFormat="1"/>
    <row r="2184" s="2" customFormat="1"/>
    <row r="2185" s="2" customFormat="1"/>
    <row r="2186" s="2" customFormat="1"/>
    <row r="2187" s="2" customFormat="1"/>
    <row r="2188" s="2" customFormat="1"/>
    <row r="2189" s="2" customFormat="1"/>
    <row r="2190" s="2" customFormat="1"/>
    <row r="2191" s="2" customFormat="1"/>
    <row r="2192" s="2" customFormat="1"/>
    <row r="2193" s="2" customFormat="1"/>
    <row r="2194" s="2" customFormat="1"/>
    <row r="2195" s="2" customFormat="1"/>
    <row r="2196" s="2" customFormat="1"/>
    <row r="2197" s="2" customFormat="1"/>
    <row r="2198" s="2" customFormat="1"/>
    <row r="2199" s="2" customFormat="1"/>
    <row r="2200" s="2" customFormat="1"/>
    <row r="2201" s="2" customFormat="1"/>
    <row r="2202" s="2" customFormat="1"/>
    <row r="2203" s="2" customFormat="1"/>
    <row r="2204" s="2" customFormat="1"/>
    <row r="2205" s="2" customFormat="1"/>
    <row r="2206" s="2" customFormat="1"/>
    <row r="2207" s="2" customFormat="1"/>
    <row r="2208" s="2" customFormat="1"/>
    <row r="2209" s="2" customFormat="1"/>
    <row r="2210" s="2" customFormat="1"/>
    <row r="2211" s="2" customFormat="1"/>
    <row r="2212" s="2" customFormat="1"/>
    <row r="2213" s="2" customFormat="1"/>
    <row r="2214" s="2" customFormat="1"/>
    <row r="2215" s="2" customFormat="1"/>
    <row r="2216" s="2" customFormat="1"/>
    <row r="2217" s="2" customFormat="1"/>
    <row r="2218" s="2" customFormat="1"/>
    <row r="2219" s="2" customFormat="1"/>
    <row r="2220" s="2" customFormat="1"/>
    <row r="2221" s="2" customFormat="1"/>
    <row r="2222" s="2" customFormat="1"/>
    <row r="2223" s="2" customFormat="1"/>
    <row r="2224" s="2" customFormat="1"/>
    <row r="2225" s="2" customFormat="1"/>
    <row r="2226" s="2" customFormat="1"/>
    <row r="2227" s="2" customFormat="1"/>
    <row r="2228" s="2" customFormat="1"/>
    <row r="2229" s="2" customFormat="1"/>
    <row r="2230" s="2" customFormat="1"/>
    <row r="2231" s="2" customFormat="1"/>
    <row r="2232" s="2" customFormat="1"/>
    <row r="2233" s="2" customFormat="1"/>
    <row r="2234" s="2" customFormat="1"/>
    <row r="2235" s="2" customFormat="1"/>
    <row r="2236" s="2" customFormat="1"/>
    <row r="2237" s="2" customFormat="1"/>
    <row r="2238" s="2" customFormat="1"/>
    <row r="2239" s="2" customFormat="1"/>
    <row r="2240" s="2" customFormat="1"/>
    <row r="2241" s="2" customFormat="1"/>
    <row r="2242" s="2" customFormat="1"/>
    <row r="2243" s="2" customFormat="1"/>
    <row r="2244" s="2" customFormat="1"/>
    <row r="2245" s="2" customFormat="1"/>
    <row r="2246" s="2" customFormat="1"/>
    <row r="2247" s="2" customFormat="1"/>
    <row r="2248" s="2" customFormat="1"/>
    <row r="2249" s="2" customFormat="1"/>
    <row r="2250" s="2" customFormat="1"/>
    <row r="2251" s="2" customFormat="1"/>
    <row r="2252" s="2" customFormat="1"/>
    <row r="2253" s="2" customFormat="1"/>
    <row r="2254" s="2" customFormat="1"/>
    <row r="2255" s="2" customFormat="1"/>
    <row r="2256" s="2" customFormat="1"/>
    <row r="2257" s="2" customFormat="1"/>
    <row r="2258" s="2" customFormat="1"/>
    <row r="2259" s="2" customFormat="1"/>
    <row r="2260" s="2" customFormat="1"/>
    <row r="2261" s="2" customFormat="1"/>
    <row r="2262" s="2" customFormat="1"/>
    <row r="2263" s="2" customFormat="1"/>
    <row r="2264" s="2" customFormat="1"/>
    <row r="2265" s="2" customFormat="1"/>
    <row r="2266" s="2" customFormat="1"/>
    <row r="2267" s="2" customFormat="1"/>
    <row r="2268" s="2" customFormat="1"/>
    <row r="2269" s="2" customFormat="1"/>
    <row r="2270" s="2" customFormat="1"/>
    <row r="2271" s="2" customFormat="1"/>
    <row r="2272" s="2" customFormat="1"/>
    <row r="2273" s="2" customFormat="1"/>
    <row r="2274" s="2" customFormat="1"/>
    <row r="2275" s="2" customFormat="1"/>
    <row r="2276" s="2" customFormat="1"/>
    <row r="2277" s="2" customFormat="1"/>
    <row r="2278" s="2" customFormat="1"/>
    <row r="2279" s="2" customFormat="1"/>
    <row r="2280" s="2" customFormat="1"/>
    <row r="2281" s="2" customFormat="1"/>
    <row r="2282" s="2" customFormat="1"/>
    <row r="2283" s="2" customFormat="1"/>
    <row r="2284" s="2" customFormat="1"/>
    <row r="2285" s="2" customFormat="1"/>
    <row r="2286" s="2" customFormat="1"/>
    <row r="2287" s="2" customFormat="1"/>
    <row r="2288" s="2" customFormat="1"/>
    <row r="2289" s="2" customFormat="1"/>
    <row r="2290" s="2" customFormat="1"/>
    <row r="2291" s="2" customFormat="1"/>
    <row r="2292" s="2" customFormat="1"/>
    <row r="2293" s="2" customFormat="1"/>
    <row r="2294" s="2" customFormat="1"/>
    <row r="2295" s="2" customFormat="1"/>
    <row r="2296" s="2" customFormat="1"/>
    <row r="2297" s="2" customFormat="1"/>
    <row r="2298" s="2" customFormat="1"/>
    <row r="2299" s="2" customFormat="1"/>
    <row r="2300" s="2" customFormat="1"/>
    <row r="2301" s="2" customFormat="1"/>
    <row r="2302" s="2" customFormat="1"/>
    <row r="2303" s="2" customFormat="1"/>
    <row r="2304" s="2" customFormat="1"/>
    <row r="2305" s="2" customFormat="1"/>
    <row r="2306" s="2" customFormat="1"/>
    <row r="2307" s="2" customFormat="1"/>
    <row r="2308" s="2" customFormat="1"/>
    <row r="2309" s="2" customFormat="1"/>
    <row r="2310" s="2" customFormat="1"/>
    <row r="2311" s="2" customFormat="1"/>
    <row r="2312" s="2" customFormat="1"/>
    <row r="2313" s="2" customFormat="1"/>
    <row r="2314" s="2" customFormat="1"/>
    <row r="2315" s="2" customFormat="1"/>
    <row r="2316" s="2" customFormat="1"/>
    <row r="2317" s="2" customFormat="1"/>
    <row r="2318" s="2" customFormat="1"/>
    <row r="2319" s="2" customFormat="1"/>
    <row r="2320" s="2" customFormat="1"/>
    <row r="2321" s="2" customFormat="1"/>
    <row r="2322" s="2" customFormat="1"/>
    <row r="2323" s="2" customFormat="1"/>
    <row r="2324" s="2" customFormat="1"/>
    <row r="2325" s="2" customFormat="1"/>
    <row r="2326" s="2" customFormat="1"/>
    <row r="2327" s="2" customFormat="1"/>
    <row r="2328" s="2" customFormat="1"/>
    <row r="2329" s="2" customFormat="1"/>
    <row r="2330" s="2" customFormat="1"/>
    <row r="2331" s="2" customFormat="1"/>
    <row r="2332" s="2" customFormat="1"/>
    <row r="2333" s="2" customFormat="1"/>
    <row r="2334" s="2" customFormat="1"/>
    <row r="2335" s="2" customFormat="1"/>
    <row r="2336" s="2" customFormat="1"/>
    <row r="2337" s="2" customFormat="1"/>
    <row r="2338" s="2" customFormat="1"/>
    <row r="2339" s="2" customFormat="1"/>
    <row r="2340" s="2" customFormat="1"/>
    <row r="2341" s="2" customFormat="1"/>
    <row r="2342" s="2" customFormat="1"/>
    <row r="2343" s="2" customFormat="1"/>
    <row r="2344" s="2" customFormat="1"/>
    <row r="2345" s="2" customFormat="1"/>
    <row r="2346" s="2" customFormat="1"/>
    <row r="2347" s="2" customFormat="1"/>
    <row r="2348" s="2" customFormat="1"/>
    <row r="2349" s="2" customFormat="1"/>
    <row r="2350" s="2" customFormat="1"/>
    <row r="2351" s="2" customFormat="1"/>
    <row r="2352" s="2" customFormat="1"/>
    <row r="2353" s="2" customFormat="1"/>
    <row r="2354" s="2" customFormat="1"/>
    <row r="2355" s="2" customFormat="1"/>
    <row r="2356" s="2" customFormat="1"/>
    <row r="2357" s="2" customFormat="1"/>
    <row r="2358" s="2" customFormat="1"/>
    <row r="2359" s="2" customFormat="1"/>
    <row r="2360" s="2" customFormat="1"/>
    <row r="2361" s="2" customFormat="1"/>
    <row r="2362" s="2" customFormat="1"/>
    <row r="2363" s="2" customFormat="1"/>
    <row r="2364" s="2" customFormat="1"/>
    <row r="2365" s="2" customFormat="1"/>
    <row r="2366" s="2" customFormat="1"/>
    <row r="2367" s="2" customFormat="1"/>
    <row r="2368" s="2" customFormat="1"/>
    <row r="2369" s="2" customFormat="1"/>
    <row r="2370" s="2" customFormat="1"/>
    <row r="2371" s="2" customFormat="1"/>
    <row r="2372" s="2" customFormat="1"/>
    <row r="2373" s="2" customFormat="1"/>
    <row r="2374" s="2" customFormat="1"/>
    <row r="2375" s="2" customFormat="1"/>
    <row r="2376" s="2" customFormat="1"/>
    <row r="2377" s="2" customFormat="1"/>
    <row r="2378" s="2" customFormat="1"/>
    <row r="2379" s="2" customFormat="1"/>
    <row r="2380" s="2" customFormat="1"/>
    <row r="2381" s="2" customFormat="1"/>
    <row r="2382" s="2" customFormat="1"/>
    <row r="2383" s="2" customFormat="1"/>
    <row r="2384" s="2" customFormat="1"/>
    <row r="2385" s="2" customFormat="1"/>
    <row r="2386" s="2" customFormat="1"/>
    <row r="2387" s="2" customFormat="1"/>
    <row r="2388" s="2" customFormat="1"/>
    <row r="2389" s="2" customFormat="1"/>
    <row r="2390" s="2" customFormat="1"/>
    <row r="2391" s="2" customFormat="1"/>
    <row r="2392" s="2" customFormat="1"/>
    <row r="2393" s="2" customFormat="1"/>
    <row r="2394" s="2" customFormat="1"/>
    <row r="2395" s="2" customFormat="1"/>
    <row r="2396" s="2" customFormat="1"/>
    <row r="2397" s="2" customFormat="1"/>
    <row r="2398" s="2" customFormat="1"/>
    <row r="2399" s="2" customFormat="1"/>
    <row r="2400" s="2" customFormat="1"/>
    <row r="2401" s="2" customFormat="1"/>
    <row r="2402" s="2" customFormat="1"/>
    <row r="2403" s="2" customFormat="1"/>
    <row r="2404" s="2" customFormat="1"/>
    <row r="2405" s="2" customFormat="1"/>
    <row r="2406" s="2" customFormat="1"/>
    <row r="2407" s="2" customFormat="1"/>
    <row r="2408" s="2" customFormat="1"/>
    <row r="2409" s="2" customFormat="1"/>
    <row r="2410" s="2" customFormat="1"/>
    <row r="2411" s="2" customFormat="1"/>
    <row r="2412" s="2" customFormat="1"/>
    <row r="2413" s="2" customFormat="1"/>
    <row r="2414" s="2" customFormat="1"/>
    <row r="2415" s="2" customFormat="1"/>
    <row r="2416" s="2" customFormat="1"/>
    <row r="2417" s="2" customFormat="1"/>
    <row r="2418" s="2" customFormat="1"/>
    <row r="2419" s="2" customFormat="1"/>
    <row r="2420" s="2" customFormat="1"/>
    <row r="2421" s="2" customFormat="1"/>
    <row r="2422" s="2" customFormat="1"/>
    <row r="2423" s="2" customFormat="1"/>
    <row r="2424" s="2" customFormat="1"/>
    <row r="2425" s="2" customFormat="1"/>
    <row r="2426" s="2" customFormat="1"/>
    <row r="2427" s="2" customFormat="1"/>
    <row r="2428" s="2" customFormat="1"/>
    <row r="2429" s="2" customFormat="1"/>
    <row r="2430" s="2" customFormat="1"/>
    <row r="2431" s="2" customFormat="1"/>
    <row r="2432" s="2" customFormat="1"/>
    <row r="2433" s="2" customFormat="1"/>
    <row r="2434" s="2" customFormat="1"/>
    <row r="2435" s="2" customFormat="1"/>
    <row r="2436" s="2" customFormat="1"/>
    <row r="2437" s="2" customFormat="1"/>
    <row r="2438" s="2" customFormat="1"/>
    <row r="2439" s="2" customFormat="1"/>
    <row r="2440" s="2" customFormat="1"/>
    <row r="2441" s="2" customFormat="1"/>
    <row r="2442" s="2" customFormat="1"/>
    <row r="2443" s="2" customFormat="1"/>
    <row r="2444" s="2" customFormat="1"/>
    <row r="2445" s="2" customFormat="1"/>
    <row r="2446" s="2" customFormat="1"/>
    <row r="2447" s="2" customFormat="1"/>
    <row r="2448" s="2" customFormat="1"/>
    <row r="2449" s="2" customFormat="1"/>
    <row r="2450" s="2" customFormat="1"/>
    <row r="2451" s="2" customFormat="1"/>
    <row r="2452" s="2" customFormat="1"/>
    <row r="2453" s="2" customFormat="1"/>
    <row r="2454" s="2" customFormat="1"/>
    <row r="2455" s="2" customFormat="1"/>
    <row r="2456" s="2" customFormat="1"/>
    <row r="2457" s="2" customFormat="1"/>
    <row r="2458" s="2" customFormat="1"/>
    <row r="2459" s="2" customFormat="1"/>
    <row r="2460" s="2" customFormat="1"/>
    <row r="2461" s="2" customFormat="1"/>
    <row r="2462" s="2" customFormat="1"/>
    <row r="2463" s="2" customFormat="1"/>
    <row r="2464" s="2" customFormat="1"/>
    <row r="2465" s="2" customFormat="1"/>
    <row r="2466" s="2" customFormat="1"/>
    <row r="2467" s="2" customFormat="1"/>
    <row r="2468" s="2" customFormat="1"/>
    <row r="2469" s="2" customFormat="1"/>
    <row r="2470" s="2" customFormat="1"/>
    <row r="2471" s="2" customFormat="1"/>
    <row r="2472" s="2" customFormat="1"/>
    <row r="2473" s="2" customFormat="1"/>
    <row r="2474" s="2" customFormat="1"/>
    <row r="2475" s="2" customFormat="1"/>
    <row r="2476" s="2" customFormat="1"/>
    <row r="2477" s="2" customFormat="1"/>
    <row r="2478" s="2" customFormat="1"/>
    <row r="2479" s="2" customFormat="1"/>
    <row r="2480" s="2" customFormat="1"/>
    <row r="2481" s="2" customFormat="1"/>
    <row r="2482" s="2" customFormat="1"/>
    <row r="2483" s="2" customFormat="1"/>
    <row r="2484" s="2" customFormat="1"/>
    <row r="2485" s="2" customFormat="1"/>
    <row r="2486" s="2" customFormat="1"/>
    <row r="2487" s="2" customFormat="1"/>
    <row r="2488" s="2" customFormat="1"/>
    <row r="2489" s="2" customFormat="1"/>
    <row r="2490" s="2" customFormat="1"/>
    <row r="2491" s="2" customFormat="1"/>
    <row r="2492" s="2" customFormat="1"/>
    <row r="2493" s="2" customFormat="1"/>
    <row r="2494" s="2" customFormat="1"/>
    <row r="2495" s="2" customFormat="1"/>
    <row r="2496" s="2" customFormat="1"/>
    <row r="2497" s="2" customFormat="1"/>
    <row r="2498" s="2" customFormat="1"/>
    <row r="2499" s="2" customFormat="1"/>
    <row r="2500" s="2" customFormat="1"/>
    <row r="2501" s="2" customFormat="1"/>
    <row r="2502" s="2" customFormat="1"/>
    <row r="2503" s="2" customFormat="1"/>
    <row r="2504" s="2" customFormat="1"/>
    <row r="2505" s="2" customFormat="1"/>
    <row r="2506" s="2" customFormat="1"/>
    <row r="2507" s="2" customFormat="1"/>
    <row r="2508" s="2" customFormat="1"/>
    <row r="2509" s="2" customFormat="1"/>
    <row r="2510" s="2" customFormat="1"/>
    <row r="2511" s="2" customFormat="1"/>
    <row r="2512" s="2" customFormat="1"/>
    <row r="2513" s="2" customFormat="1"/>
    <row r="2514" s="2" customFormat="1"/>
    <row r="2515" s="2" customFormat="1"/>
    <row r="2516" s="2" customFormat="1"/>
    <row r="2517" s="2" customFormat="1"/>
    <row r="2518" s="2" customFormat="1"/>
    <row r="2519" s="2" customFormat="1"/>
    <row r="2520" s="2" customFormat="1"/>
    <row r="2521" s="2" customFormat="1"/>
    <row r="2522" s="2" customFormat="1"/>
    <row r="2523" s="2" customFormat="1"/>
    <row r="2524" s="2" customFormat="1"/>
    <row r="2525" s="2" customFormat="1"/>
    <row r="2526" s="2" customFormat="1"/>
    <row r="2527" s="2" customFormat="1"/>
    <row r="2528" s="2" customFormat="1"/>
    <row r="2529" s="2" customFormat="1"/>
    <row r="2530" s="2" customFormat="1"/>
    <row r="2531" s="2" customFormat="1"/>
    <row r="2532" s="2" customFormat="1"/>
    <row r="2533" s="2" customFormat="1"/>
    <row r="2534" s="2" customFormat="1"/>
    <row r="2535" s="2" customFormat="1"/>
    <row r="2536" s="2" customFormat="1"/>
    <row r="2537" s="2" customFormat="1"/>
    <row r="2538" s="2" customFormat="1"/>
    <row r="2539" s="2" customFormat="1"/>
    <row r="2540" s="2" customFormat="1"/>
    <row r="2541" s="2" customFormat="1"/>
    <row r="2542" s="2" customFormat="1"/>
    <row r="2543" s="2" customFormat="1"/>
    <row r="2544" s="2" customFormat="1"/>
    <row r="2545" s="2" customFormat="1"/>
    <row r="2546" s="2" customFormat="1"/>
    <row r="2547" s="2" customFormat="1"/>
    <row r="2548" s="2" customFormat="1"/>
    <row r="2549" s="2" customFormat="1"/>
    <row r="2550" s="2" customFormat="1"/>
    <row r="2551" s="2" customFormat="1"/>
    <row r="2552" s="2" customFormat="1"/>
    <row r="2553" s="2" customFormat="1"/>
    <row r="2554" s="2" customFormat="1"/>
    <row r="2555" s="2" customFormat="1"/>
    <row r="2556" s="2" customFormat="1"/>
    <row r="2557" s="2" customFormat="1"/>
    <row r="2558" s="2" customFormat="1"/>
    <row r="2559" s="2" customFormat="1"/>
    <row r="2560" s="2" customFormat="1"/>
    <row r="2561" s="2" customFormat="1"/>
    <row r="2562" s="2" customFormat="1"/>
    <row r="2563" s="2" customFormat="1"/>
    <row r="2564" s="2" customFormat="1"/>
    <row r="2565" s="2" customFormat="1"/>
    <row r="2566" s="2" customFormat="1"/>
    <row r="2567" s="2" customFormat="1"/>
    <row r="2568" s="2" customFormat="1"/>
    <row r="2569" s="2" customFormat="1"/>
    <row r="2570" s="2" customFormat="1"/>
    <row r="2571" s="2" customFormat="1"/>
    <row r="2572" s="2" customFormat="1"/>
    <row r="2573" s="2" customFormat="1"/>
    <row r="2574" s="2" customFormat="1"/>
    <row r="2575" s="2" customFormat="1"/>
    <row r="2576" s="2" customFormat="1"/>
    <row r="2577" s="2" customFormat="1"/>
    <row r="2578" s="2" customFormat="1"/>
    <row r="2579" s="2" customFormat="1"/>
    <row r="2580" s="2" customFormat="1"/>
    <row r="2581" s="2" customFormat="1"/>
    <row r="2582" s="2" customFormat="1"/>
    <row r="2583" s="2" customFormat="1"/>
    <row r="2584" s="2" customFormat="1"/>
    <row r="2585" s="2" customFormat="1"/>
    <row r="2586" s="2" customFormat="1"/>
    <row r="2587" s="2" customFormat="1"/>
    <row r="2588" s="2" customFormat="1"/>
    <row r="2589" s="2" customFormat="1"/>
    <row r="2590" s="2" customFormat="1"/>
    <row r="2591" s="2" customFormat="1"/>
    <row r="2592" s="2" customFormat="1"/>
    <row r="2593" s="2" customFormat="1"/>
    <row r="2594" s="2" customFormat="1"/>
    <row r="2595" s="2" customFormat="1"/>
    <row r="2596" s="2" customFormat="1"/>
    <row r="2597" s="2" customFormat="1"/>
    <row r="2598" s="2" customFormat="1"/>
    <row r="2599" s="2" customFormat="1"/>
    <row r="2600" s="2" customFormat="1"/>
    <row r="2601" s="2" customFormat="1"/>
    <row r="2602" s="2" customFormat="1"/>
    <row r="2603" s="2" customFormat="1"/>
    <row r="2604" s="2" customFormat="1"/>
    <row r="2605" s="2" customFormat="1"/>
    <row r="2606" s="2" customFormat="1"/>
    <row r="2607" s="2" customFormat="1"/>
    <row r="2608" s="2" customFormat="1"/>
    <row r="2609" s="2" customFormat="1"/>
    <row r="2610" s="2" customFormat="1"/>
    <row r="2611" s="2" customFormat="1"/>
    <row r="2612" s="2" customFormat="1"/>
    <row r="2613" s="2" customFormat="1"/>
    <row r="2614" s="2" customFormat="1"/>
    <row r="2615" s="2" customFormat="1"/>
    <row r="2616" s="2" customFormat="1"/>
    <row r="2617" s="2" customFormat="1"/>
    <row r="2618" s="2" customFormat="1"/>
    <row r="2619" s="2" customFormat="1"/>
    <row r="2620" s="2" customFormat="1"/>
    <row r="2621" s="2" customFormat="1"/>
    <row r="2622" s="2" customFormat="1"/>
    <row r="2623" s="2" customFormat="1"/>
    <row r="2624" s="2" customFormat="1"/>
    <row r="2625" s="2" customFormat="1"/>
    <row r="2626" s="2" customFormat="1"/>
    <row r="2627" s="2" customFormat="1"/>
    <row r="2628" s="2" customFormat="1"/>
    <row r="2629" s="2" customFormat="1"/>
    <row r="2630" s="2" customFormat="1"/>
    <row r="2631" s="2" customFormat="1"/>
    <row r="2632" s="2" customFormat="1"/>
    <row r="2633" s="2" customFormat="1"/>
    <row r="2634" s="2" customFormat="1"/>
    <row r="2635" s="2" customFormat="1"/>
    <row r="2636" s="2" customFormat="1"/>
    <row r="2637" s="2" customFormat="1"/>
    <row r="2638" s="2" customFormat="1"/>
    <row r="2639" s="2" customFormat="1"/>
    <row r="2640" s="2" customFormat="1"/>
    <row r="2641" s="2" customFormat="1"/>
    <row r="2642" s="2" customFormat="1"/>
    <row r="2643" s="2" customFormat="1"/>
    <row r="2644" s="2" customFormat="1"/>
    <row r="2645" s="2" customFormat="1"/>
    <row r="2646" s="2" customFormat="1"/>
    <row r="2647" s="2" customFormat="1"/>
    <row r="2648" s="2" customFormat="1"/>
    <row r="2649" s="2" customFormat="1"/>
    <row r="2650" s="2" customFormat="1"/>
    <row r="2651" s="2" customFormat="1"/>
    <row r="2652" s="2" customFormat="1"/>
    <row r="2653" s="2" customFormat="1"/>
    <row r="2654" s="2" customFormat="1"/>
    <row r="2655" s="2" customFormat="1"/>
    <row r="2656" s="2" customFormat="1"/>
    <row r="2657" s="2" customFormat="1"/>
    <row r="2658" s="2" customFormat="1"/>
    <row r="2659" s="2" customFormat="1"/>
    <row r="2660" s="2" customFormat="1"/>
    <row r="2661" s="2" customFormat="1"/>
    <row r="2662" s="2" customFormat="1"/>
    <row r="2663" s="2" customFormat="1"/>
    <row r="2664" s="2" customFormat="1"/>
    <row r="2665" s="2" customFormat="1"/>
    <row r="2666" s="2" customFormat="1"/>
    <row r="2667" s="2" customFormat="1"/>
    <row r="2668" s="2" customFormat="1"/>
    <row r="2669" s="2" customFormat="1"/>
    <row r="2670" s="2" customFormat="1"/>
    <row r="2671" s="2" customFormat="1"/>
    <row r="2672" s="2" customFormat="1"/>
    <row r="2673" s="2" customFormat="1"/>
    <row r="2674" s="2" customFormat="1"/>
    <row r="2675" s="2" customFormat="1"/>
    <row r="2676" s="2" customFormat="1"/>
    <row r="2677" s="2" customFormat="1"/>
    <row r="2678" s="2" customFormat="1"/>
    <row r="2679" s="2" customFormat="1"/>
    <row r="2680" s="2" customFormat="1"/>
    <row r="2681" s="2" customFormat="1"/>
    <row r="2682" s="2" customFormat="1"/>
    <row r="2683" s="2" customFormat="1"/>
    <row r="2684" s="2" customFormat="1"/>
    <row r="2685" s="2" customFormat="1"/>
    <row r="2686" s="2" customFormat="1"/>
    <row r="2687" s="2" customFormat="1"/>
    <row r="2688" s="2" customFormat="1"/>
    <row r="2689" s="2" customFormat="1"/>
    <row r="2690" s="2" customFormat="1"/>
    <row r="2691" s="2" customFormat="1"/>
    <row r="2692" s="2" customFormat="1"/>
    <row r="2693" s="2" customFormat="1"/>
    <row r="2694" s="2" customFormat="1"/>
    <row r="2695" s="2" customFormat="1"/>
    <row r="2696" s="2" customFormat="1"/>
    <row r="2697" s="2" customFormat="1"/>
    <row r="2698" s="2" customFormat="1"/>
    <row r="2699" s="2" customFormat="1"/>
    <row r="2700" s="2" customFormat="1"/>
    <row r="2701" s="2" customFormat="1"/>
    <row r="2702" s="2" customFormat="1"/>
    <row r="2703" s="2" customFormat="1"/>
    <row r="2704" s="2" customFormat="1"/>
    <row r="2705" s="2" customFormat="1"/>
    <row r="2706" s="2" customFormat="1"/>
    <row r="2707" s="2" customFormat="1"/>
    <row r="2708" s="2" customFormat="1"/>
    <row r="2709" s="2" customFormat="1"/>
    <row r="2710" s="2" customFormat="1"/>
    <row r="2711" s="2" customFormat="1"/>
    <row r="2712" s="2" customFormat="1"/>
    <row r="2713" s="2" customFormat="1"/>
    <row r="2714" s="2" customFormat="1"/>
    <row r="2715" s="2" customFormat="1"/>
    <row r="2716" s="2" customFormat="1"/>
    <row r="2717" s="2" customFormat="1"/>
    <row r="2718" s="2" customFormat="1"/>
    <row r="2719" s="2" customFormat="1"/>
    <row r="2720" s="2" customFormat="1"/>
    <row r="2721" s="2" customFormat="1"/>
    <row r="2722" s="2" customFormat="1"/>
    <row r="2723" s="2" customFormat="1"/>
    <row r="2724" s="2" customFormat="1"/>
    <row r="2725" s="2" customFormat="1"/>
    <row r="2726" s="2" customFormat="1"/>
    <row r="2727" s="2" customFormat="1"/>
    <row r="2728" s="2" customFormat="1"/>
    <row r="2729" s="2" customFormat="1"/>
    <row r="2730" s="2" customFormat="1"/>
    <row r="2731" s="2" customFormat="1"/>
    <row r="2732" s="2" customFormat="1"/>
    <row r="2733" s="2" customFormat="1"/>
    <row r="2734" s="2" customFormat="1"/>
    <row r="2735" s="2" customFormat="1"/>
    <row r="2736" s="2" customFormat="1"/>
    <row r="2737" s="2" customFormat="1"/>
    <row r="2738" s="2" customFormat="1"/>
    <row r="2739" s="2" customFormat="1"/>
    <row r="2740" s="2" customFormat="1"/>
    <row r="2741" s="2" customFormat="1"/>
    <row r="2742" s="2" customFormat="1"/>
    <row r="2743" s="2" customFormat="1"/>
    <row r="2744" s="2" customFormat="1"/>
    <row r="2745" s="2" customFormat="1"/>
    <row r="2746" s="2" customFormat="1"/>
    <row r="2747" s="2" customFormat="1"/>
    <row r="2748" s="2" customFormat="1"/>
    <row r="2749" s="2" customFormat="1"/>
    <row r="2750" s="2" customFormat="1"/>
    <row r="2751" s="2" customFormat="1"/>
    <row r="2752" s="2" customFormat="1"/>
    <row r="2753" s="2" customFormat="1"/>
    <row r="2754" s="2" customFormat="1"/>
    <row r="2755" s="2" customFormat="1"/>
    <row r="2756" s="2" customFormat="1"/>
    <row r="2757" s="2" customFormat="1"/>
    <row r="2758" s="2" customFormat="1"/>
    <row r="2759" s="2" customFormat="1"/>
    <row r="2760" s="2" customFormat="1"/>
    <row r="2761" s="2" customFormat="1"/>
    <row r="2762" s="2" customFormat="1"/>
    <row r="2763" s="2" customFormat="1"/>
    <row r="2764" s="2" customFormat="1"/>
    <row r="2765" s="2" customFormat="1"/>
    <row r="2766" s="2" customFormat="1"/>
    <row r="2767" s="2" customFormat="1"/>
    <row r="2768" s="2" customFormat="1"/>
    <row r="2769" s="2" customFormat="1"/>
    <row r="2770" s="2" customFormat="1"/>
    <row r="2771" s="2" customFormat="1"/>
    <row r="2772" s="2" customFormat="1"/>
    <row r="2773" s="2" customFormat="1"/>
    <row r="2774" s="2" customFormat="1"/>
    <row r="2775" s="2" customFormat="1"/>
    <row r="2776" s="2" customFormat="1"/>
    <row r="2777" s="2" customFormat="1"/>
    <row r="2778" s="2" customFormat="1"/>
    <row r="2779" s="2" customFormat="1"/>
    <row r="2780" s="2" customFormat="1"/>
    <row r="2781" s="2" customFormat="1"/>
    <row r="2782" s="2" customFormat="1"/>
    <row r="2783" s="2" customFormat="1"/>
    <row r="2784" s="2" customFormat="1"/>
    <row r="2785" s="2" customFormat="1"/>
    <row r="2786" s="2" customFormat="1"/>
    <row r="2787" s="2" customFormat="1"/>
    <row r="2788" s="2" customFormat="1"/>
    <row r="2789" s="2" customFormat="1"/>
    <row r="2790" s="2" customFormat="1"/>
    <row r="2791" s="2" customFormat="1"/>
    <row r="2792" s="2" customFormat="1"/>
    <row r="2793" s="2" customFormat="1"/>
    <row r="2794" s="2" customFormat="1"/>
    <row r="2795" s="2" customFormat="1"/>
    <row r="2796" s="2" customFormat="1"/>
    <row r="2797" s="2" customFormat="1"/>
    <row r="2798" s="2" customFormat="1"/>
    <row r="2799" s="2" customFormat="1"/>
    <row r="2800" s="2" customFormat="1"/>
    <row r="2801" s="2" customFormat="1"/>
    <row r="2802" s="2" customFormat="1"/>
    <row r="2803" s="2" customFormat="1"/>
    <row r="2804" s="2" customFormat="1"/>
    <row r="2805" s="2" customFormat="1"/>
    <row r="2806" s="2" customFormat="1"/>
    <row r="2807" s="2" customFormat="1"/>
    <row r="2808" s="2" customFormat="1"/>
    <row r="2809" s="2" customFormat="1"/>
    <row r="2810" s="2" customFormat="1"/>
    <row r="2811" s="2" customFormat="1"/>
    <row r="2812" s="2" customFormat="1"/>
    <row r="2813" s="2" customFormat="1"/>
    <row r="2814" s="2" customFormat="1"/>
    <row r="2815" s="2" customFormat="1"/>
    <row r="2816" s="2" customFormat="1"/>
    <row r="2817" s="2" customFormat="1"/>
    <row r="2818" s="2" customFormat="1"/>
    <row r="2819" s="2" customFormat="1"/>
    <row r="2820" s="2" customFormat="1"/>
    <row r="2821" s="2" customFormat="1"/>
    <row r="2822" s="2" customFormat="1"/>
    <row r="2823" s="2" customFormat="1"/>
    <row r="2824" s="2" customFormat="1"/>
    <row r="2825" s="2" customFormat="1"/>
    <row r="2826" s="2" customFormat="1"/>
    <row r="2827" s="2" customFormat="1"/>
    <row r="2828" s="2" customFormat="1"/>
    <row r="2829" s="2" customFormat="1"/>
    <row r="2830" s="2" customFormat="1"/>
    <row r="2831" s="2" customFormat="1"/>
    <row r="2832" s="2" customFormat="1"/>
    <row r="2833" s="2" customFormat="1"/>
    <row r="2834" s="2" customFormat="1"/>
    <row r="2835" s="2" customFormat="1"/>
    <row r="2836" s="2" customFormat="1"/>
    <row r="2837" s="2" customFormat="1"/>
    <row r="2838" s="2" customFormat="1"/>
    <row r="2839" s="2" customFormat="1"/>
    <row r="2840" s="2" customFormat="1"/>
    <row r="2841" s="2" customFormat="1"/>
    <row r="2842" s="2" customFormat="1"/>
    <row r="2843" s="2" customFormat="1"/>
    <row r="2844" s="2" customFormat="1"/>
    <row r="2845" s="2" customFormat="1"/>
    <row r="2846" s="2" customFormat="1"/>
    <row r="2847" s="2" customFormat="1"/>
    <row r="2848" s="2" customFormat="1"/>
    <row r="2849" s="2" customFormat="1"/>
    <row r="2850" s="2" customFormat="1"/>
    <row r="2851" s="2" customFormat="1"/>
    <row r="2852" s="2" customFormat="1"/>
    <row r="2853" s="2" customFormat="1"/>
    <row r="2854" s="2" customFormat="1"/>
    <row r="2855" s="2" customFormat="1"/>
    <row r="2856" s="2" customFormat="1"/>
    <row r="2857" s="2" customFormat="1"/>
    <row r="2858" s="2" customFormat="1"/>
    <row r="2859" s="2" customFormat="1"/>
    <row r="2860" s="2" customFormat="1"/>
    <row r="2861" s="2" customFormat="1"/>
    <row r="2862" s="2" customFormat="1"/>
    <row r="2863" s="2" customFormat="1"/>
    <row r="2864" s="2" customFormat="1"/>
    <row r="2865" s="2" customFormat="1"/>
    <row r="2866" s="2" customFormat="1"/>
    <row r="2867" s="2" customFormat="1"/>
    <row r="2868" s="2" customFormat="1"/>
    <row r="2869" s="2" customFormat="1"/>
    <row r="2870" s="2" customFormat="1"/>
    <row r="2871" s="2" customFormat="1"/>
    <row r="2872" s="2" customFormat="1"/>
    <row r="2873" s="2" customFormat="1"/>
    <row r="2874" s="2" customFormat="1"/>
    <row r="2875" s="2" customFormat="1"/>
    <row r="2876" s="2" customFormat="1"/>
    <row r="2877" s="2" customFormat="1"/>
    <row r="2878" s="2" customFormat="1"/>
    <row r="2879" s="2" customFormat="1"/>
    <row r="2880" s="2" customFormat="1"/>
    <row r="2881" s="2" customFormat="1"/>
    <row r="2882" s="2" customFormat="1"/>
    <row r="2883" s="2" customFormat="1"/>
    <row r="2884" s="2" customFormat="1"/>
    <row r="2885" s="2" customFormat="1"/>
    <row r="2886" s="2" customFormat="1"/>
    <row r="2887" s="2" customFormat="1"/>
    <row r="2888" s="2" customFormat="1"/>
    <row r="2889" s="2" customFormat="1"/>
    <row r="2890" s="2" customFormat="1"/>
    <row r="2891" s="2" customFormat="1"/>
    <row r="2892" s="2" customFormat="1"/>
    <row r="2893" s="2" customFormat="1"/>
    <row r="2894" s="2" customFormat="1"/>
    <row r="2895" s="2" customFormat="1"/>
    <row r="2896" s="2" customFormat="1"/>
    <row r="2897" s="2" customFormat="1"/>
    <row r="2898" s="2" customFormat="1"/>
    <row r="2899" s="2" customFormat="1"/>
    <row r="2900" s="2" customFormat="1"/>
    <row r="2901" s="2" customFormat="1"/>
    <row r="2902" s="2" customFormat="1"/>
    <row r="2903" s="2" customFormat="1"/>
    <row r="2904" s="2" customFormat="1"/>
    <row r="2905" s="2" customFormat="1"/>
    <row r="2906" s="2" customFormat="1"/>
    <row r="2907" s="2" customFormat="1"/>
    <row r="2908" s="2" customFormat="1"/>
    <row r="2909" s="2" customFormat="1"/>
    <row r="2910" s="2" customFormat="1"/>
    <row r="2911" s="2" customFormat="1"/>
    <row r="2912" s="2" customFormat="1"/>
    <row r="2913" s="2" customFormat="1"/>
    <row r="2914" s="2" customFormat="1"/>
    <row r="2915" s="2" customFormat="1"/>
    <row r="2916" s="2" customFormat="1"/>
    <row r="2917" s="2" customFormat="1"/>
    <row r="2918" s="2" customFormat="1"/>
    <row r="2919" s="2" customFormat="1"/>
    <row r="2920" s="2" customFormat="1"/>
    <row r="2921" s="2" customFormat="1"/>
    <row r="2922" s="2" customFormat="1"/>
    <row r="2923" s="2" customFormat="1"/>
    <row r="2924" s="2" customFormat="1"/>
    <row r="2925" s="2" customFormat="1"/>
    <row r="2926" s="2" customFormat="1"/>
    <row r="2927" s="2" customFormat="1"/>
    <row r="2928" s="2" customFormat="1"/>
    <row r="2929" s="2" customFormat="1"/>
    <row r="2930" s="2" customFormat="1"/>
    <row r="2931" s="2" customFormat="1"/>
    <row r="2932" s="2" customFormat="1"/>
    <row r="2933" s="2" customFormat="1"/>
    <row r="2934" s="2" customFormat="1"/>
    <row r="2935" s="2" customFormat="1"/>
    <row r="2936" s="2" customFormat="1"/>
    <row r="2937" s="2" customFormat="1"/>
    <row r="2938" s="2" customFormat="1"/>
    <row r="2939" s="2" customFormat="1"/>
    <row r="2940" s="2" customFormat="1"/>
    <row r="2941" s="2" customFormat="1"/>
    <row r="2942" s="2" customFormat="1"/>
    <row r="2943" s="2" customFormat="1"/>
    <row r="2944" s="2" customFormat="1"/>
    <row r="2945" s="2" customFormat="1"/>
    <row r="2946" s="2" customFormat="1"/>
    <row r="2947" s="2" customFormat="1"/>
    <row r="2948" s="2" customFormat="1"/>
    <row r="2949" s="2" customFormat="1"/>
    <row r="2950" s="2" customFormat="1"/>
    <row r="2951" s="2" customFormat="1"/>
    <row r="2952" s="2" customFormat="1"/>
    <row r="2953" s="2" customFormat="1"/>
    <row r="2954" s="2" customFormat="1"/>
    <row r="2955" s="2" customFormat="1"/>
    <row r="2956" s="2" customFormat="1"/>
    <row r="2957" s="2" customFormat="1"/>
    <row r="2958" s="2" customFormat="1"/>
    <row r="2959" s="2" customFormat="1"/>
    <row r="2960" s="2" customFormat="1"/>
    <row r="2961" s="2" customFormat="1"/>
    <row r="2962" s="2" customFormat="1"/>
    <row r="2963" s="2" customFormat="1"/>
    <row r="2964" s="2" customFormat="1"/>
    <row r="2965" s="2" customFormat="1"/>
    <row r="2966" s="2" customFormat="1"/>
    <row r="2967" s="2" customFormat="1"/>
    <row r="2968" s="2" customFormat="1"/>
    <row r="2969" s="2" customFormat="1"/>
    <row r="2970" s="2" customFormat="1"/>
    <row r="2971" s="2" customFormat="1"/>
    <row r="2972" s="2" customFormat="1"/>
    <row r="2973" s="2" customFormat="1"/>
    <row r="2974" s="2" customFormat="1"/>
    <row r="2975" s="2" customFormat="1"/>
    <row r="2976" s="2" customFormat="1"/>
    <row r="2977" s="2" customFormat="1"/>
    <row r="2978" s="2" customFormat="1"/>
    <row r="2979" s="2" customFormat="1"/>
    <row r="2980" s="2" customFormat="1"/>
    <row r="2981" s="2" customFormat="1"/>
    <row r="2982" s="2" customFormat="1"/>
    <row r="2983" s="2" customFormat="1"/>
    <row r="2984" s="2" customFormat="1"/>
    <row r="2985" s="2" customFormat="1"/>
    <row r="2986" s="2" customFormat="1"/>
    <row r="2987" s="2" customFormat="1"/>
    <row r="2988" s="2" customFormat="1"/>
    <row r="2989" s="2" customFormat="1"/>
    <row r="2990" s="2" customFormat="1"/>
    <row r="2991" s="2" customFormat="1"/>
    <row r="2992" s="2" customFormat="1"/>
    <row r="2993" s="2" customFormat="1"/>
    <row r="2994" s="2" customFormat="1"/>
    <row r="2995" s="2" customFormat="1"/>
    <row r="2996" s="2" customFormat="1"/>
    <row r="2997" s="2" customFormat="1"/>
    <row r="2998" s="2" customFormat="1"/>
    <row r="2999" s="2" customFormat="1"/>
    <row r="3000" s="2" customFormat="1"/>
    <row r="3001" s="2" customFormat="1"/>
    <row r="3002" s="2" customFormat="1"/>
    <row r="3003" s="2" customFormat="1"/>
    <row r="3004" s="2" customFormat="1"/>
    <row r="3005" s="2" customFormat="1"/>
    <row r="3006" s="2" customFormat="1"/>
    <row r="3007" s="2" customFormat="1"/>
    <row r="3008" s="2" customFormat="1"/>
    <row r="3009" s="2" customFormat="1"/>
    <row r="3010" s="2" customFormat="1"/>
    <row r="3011" s="2" customFormat="1"/>
    <row r="3012" s="2" customFormat="1"/>
    <row r="3013" s="2" customFormat="1"/>
    <row r="3014" s="2" customFormat="1"/>
    <row r="3015" s="2" customFormat="1"/>
    <row r="3016" s="2" customFormat="1"/>
    <row r="3017" s="2" customFormat="1"/>
    <row r="3018" s="2" customFormat="1"/>
    <row r="3019" s="2" customFormat="1"/>
    <row r="3020" s="2" customFormat="1"/>
    <row r="3021" s="2" customFormat="1"/>
    <row r="3022" s="2" customFormat="1"/>
    <row r="3023" s="2" customFormat="1"/>
    <row r="3024" s="2" customFormat="1"/>
    <row r="3025" s="2" customFormat="1"/>
    <row r="3026" s="2" customFormat="1"/>
    <row r="3027" s="2" customFormat="1"/>
    <row r="3028" s="2" customFormat="1"/>
    <row r="3029" s="2" customFormat="1"/>
    <row r="3030" s="2" customFormat="1"/>
    <row r="3031" s="2" customFormat="1"/>
    <row r="3032" s="2" customFormat="1"/>
    <row r="3033" s="2" customFormat="1"/>
    <row r="3034" s="2" customFormat="1"/>
    <row r="3035" s="2" customFormat="1"/>
    <row r="3036" s="2" customFormat="1"/>
    <row r="3037" s="2" customFormat="1"/>
    <row r="3038" s="2" customFormat="1"/>
    <row r="3039" s="2" customFormat="1"/>
    <row r="3040" s="2" customFormat="1"/>
    <row r="3041" s="2" customFormat="1"/>
    <row r="3042" s="2" customFormat="1"/>
    <row r="3043" s="2" customFormat="1"/>
    <row r="3044" s="2" customFormat="1"/>
    <row r="3045" s="2" customFormat="1"/>
    <row r="3046" s="2" customFormat="1"/>
    <row r="3047" s="2" customFormat="1"/>
    <row r="3048" s="2" customFormat="1"/>
    <row r="3049" s="2" customFormat="1"/>
    <row r="3050" s="2" customFormat="1"/>
    <row r="3051" s="2" customFormat="1"/>
    <row r="3052" s="2" customFormat="1"/>
    <row r="3053" s="2" customFormat="1"/>
    <row r="3054" s="2" customFormat="1"/>
    <row r="3055" s="2" customFormat="1"/>
    <row r="3056" s="2" customFormat="1"/>
    <row r="3057" s="2" customFormat="1"/>
    <row r="3058" s="2" customFormat="1"/>
    <row r="3059" s="2" customFormat="1"/>
    <row r="3060" s="2" customFormat="1"/>
    <row r="3061" s="2" customFormat="1"/>
    <row r="3062" s="2" customFormat="1"/>
    <row r="3063" s="2" customFormat="1"/>
    <row r="3064" s="2" customFormat="1"/>
    <row r="3065" s="2" customFormat="1"/>
    <row r="3066" s="2" customFormat="1"/>
    <row r="3067" s="2" customFormat="1"/>
    <row r="3068" s="2" customFormat="1"/>
    <row r="3069" s="2" customFormat="1"/>
    <row r="3070" s="2" customFormat="1"/>
    <row r="3071" s="2" customFormat="1"/>
    <row r="3072" s="2" customFormat="1"/>
    <row r="3073" s="2" customFormat="1"/>
    <row r="3074" s="2" customFormat="1"/>
    <row r="3075" s="2" customFormat="1"/>
    <row r="3076" s="2" customFormat="1"/>
    <row r="3077" s="2" customFormat="1"/>
    <row r="3078" s="2" customFormat="1"/>
    <row r="3079" s="2" customFormat="1"/>
    <row r="3080" s="2" customFormat="1"/>
    <row r="3081" s="2" customFormat="1"/>
    <row r="3082" s="2" customFormat="1"/>
    <row r="3083" s="2" customFormat="1"/>
    <row r="3084" s="2" customFormat="1"/>
    <row r="3085" s="2" customFormat="1"/>
    <row r="3086" s="2" customFormat="1"/>
    <row r="3087" s="2" customFormat="1"/>
    <row r="3088" s="2" customFormat="1"/>
    <row r="3089" s="2" customFormat="1"/>
    <row r="3090" s="2" customFormat="1"/>
    <row r="3091" s="2" customFormat="1"/>
    <row r="3092" s="2" customFormat="1"/>
    <row r="3093" s="2" customFormat="1"/>
    <row r="3094" s="2" customFormat="1"/>
    <row r="3095" s="2" customFormat="1"/>
    <row r="3096" s="2" customFormat="1"/>
    <row r="3097" s="2" customFormat="1"/>
    <row r="3098" s="2" customFormat="1"/>
    <row r="3099" s="2" customFormat="1"/>
    <row r="3100" s="2" customFormat="1"/>
    <row r="3101" s="2" customFormat="1"/>
    <row r="3102" s="2" customFormat="1"/>
    <row r="3103" s="2" customFormat="1"/>
    <row r="3104" s="2" customFormat="1"/>
    <row r="3105" s="2" customFormat="1"/>
    <row r="3106" s="2" customFormat="1"/>
    <row r="3107" s="2" customFormat="1"/>
    <row r="3108" s="2" customFormat="1"/>
    <row r="3109" s="2" customFormat="1"/>
    <row r="3110" s="2" customFormat="1"/>
    <row r="3111" s="2" customFormat="1"/>
    <row r="3112" s="2" customFormat="1"/>
    <row r="3113" s="2" customFormat="1"/>
    <row r="3114" s="2" customFormat="1"/>
    <row r="3115" s="2" customFormat="1"/>
    <row r="3116" s="2" customFormat="1"/>
    <row r="3117" s="2" customFormat="1"/>
    <row r="3118" s="2" customFormat="1"/>
    <row r="3119" s="2" customFormat="1"/>
    <row r="3120" s="2" customFormat="1"/>
    <row r="3121" s="2" customFormat="1"/>
    <row r="3122" s="2" customFormat="1"/>
    <row r="3123" s="2" customFormat="1"/>
    <row r="3124" s="2" customFormat="1"/>
    <row r="3125" s="2" customFormat="1"/>
    <row r="3126" s="2" customFormat="1"/>
    <row r="3127" s="2" customFormat="1"/>
    <row r="3128" s="2" customFormat="1"/>
    <row r="3129" s="2" customFormat="1"/>
    <row r="3130" s="2" customFormat="1"/>
    <row r="3131" s="2" customFormat="1"/>
    <row r="3132" s="2" customFormat="1"/>
    <row r="3133" s="2" customFormat="1"/>
    <row r="3134" s="2" customFormat="1"/>
    <row r="3135" s="2" customFormat="1"/>
    <row r="3136" s="2" customFormat="1"/>
    <row r="3137" s="2" customFormat="1"/>
    <row r="3138" s="2" customFormat="1"/>
    <row r="3139" s="2" customFormat="1"/>
    <row r="3140" s="2" customFormat="1"/>
    <row r="3141" s="2" customFormat="1"/>
    <row r="3142" s="2" customFormat="1"/>
    <row r="3143" s="2" customFormat="1"/>
    <row r="3144" s="2" customFormat="1"/>
    <row r="3145" s="2" customFormat="1"/>
    <row r="3146" s="2" customFormat="1"/>
    <row r="3147" s="2" customFormat="1"/>
    <row r="3148" s="2" customFormat="1"/>
    <row r="3149" s="2" customFormat="1"/>
    <row r="3150" s="2" customFormat="1"/>
    <row r="3151" s="2" customFormat="1"/>
    <row r="3152" s="2" customFormat="1"/>
    <row r="3153" s="2" customFormat="1"/>
    <row r="3154" s="2" customFormat="1"/>
    <row r="3155" s="2" customFormat="1"/>
    <row r="3156" s="2" customFormat="1"/>
    <row r="3157" s="2" customFormat="1"/>
    <row r="3158" s="2" customFormat="1"/>
    <row r="3159" s="2" customFormat="1"/>
    <row r="3160" s="2" customFormat="1"/>
    <row r="3161" s="2" customFormat="1"/>
    <row r="3162" s="2" customFormat="1"/>
    <row r="3163" s="2" customFormat="1"/>
    <row r="3164" s="2" customFormat="1"/>
    <row r="3165" s="2" customFormat="1"/>
    <row r="3166" s="2" customFormat="1"/>
    <row r="3167" s="2" customFormat="1"/>
    <row r="3168" s="2" customFormat="1"/>
    <row r="3169" s="2" customFormat="1"/>
    <row r="3170" s="2" customFormat="1"/>
    <row r="3171" s="2" customFormat="1"/>
    <row r="3172" s="2" customFormat="1"/>
    <row r="3173" s="2" customFormat="1"/>
    <row r="3174" s="2" customFormat="1"/>
    <row r="3175" s="2" customFormat="1"/>
    <row r="3176" s="2" customFormat="1"/>
    <row r="3177" s="2" customFormat="1"/>
    <row r="3178" s="2" customFormat="1"/>
    <row r="3179" s="2" customFormat="1"/>
    <row r="3180" s="2" customFormat="1"/>
    <row r="3181" s="2" customFormat="1"/>
    <row r="3182" s="2" customFormat="1"/>
    <row r="3183" s="2" customFormat="1"/>
    <row r="3184" s="2" customFormat="1"/>
    <row r="3185" s="2" customFormat="1"/>
    <row r="3186" s="2" customFormat="1"/>
    <row r="3187" s="2" customFormat="1"/>
    <row r="3188" s="2" customFormat="1"/>
    <row r="3189" s="2" customFormat="1"/>
    <row r="3190" s="2" customFormat="1"/>
    <row r="3191" s="2" customFormat="1"/>
    <row r="3192" s="2" customFormat="1"/>
    <row r="3193" s="2" customFormat="1"/>
    <row r="3194" s="2" customFormat="1"/>
    <row r="3195" s="2" customFormat="1"/>
    <row r="3196" s="2" customFormat="1"/>
    <row r="3197" s="2" customFormat="1"/>
    <row r="3198" s="2" customFormat="1"/>
    <row r="3199" s="2" customFormat="1"/>
    <row r="3200" s="2" customFormat="1"/>
    <row r="3201" s="2" customFormat="1"/>
    <row r="3202" s="2" customFormat="1"/>
    <row r="3203" s="2" customFormat="1"/>
    <row r="3204" s="2" customFormat="1"/>
    <row r="3205" s="2" customFormat="1"/>
    <row r="3206" s="2" customFormat="1"/>
    <row r="3207" s="2" customFormat="1"/>
    <row r="3208" s="2" customFormat="1"/>
    <row r="3209" s="2" customFormat="1"/>
    <row r="3210" s="2" customFormat="1"/>
    <row r="3211" s="2" customFormat="1"/>
    <row r="3212" s="2" customFormat="1"/>
    <row r="3213" s="2" customFormat="1"/>
    <row r="3214" s="2" customFormat="1"/>
    <row r="3215" s="2" customFormat="1"/>
    <row r="3216" s="2" customFormat="1"/>
    <row r="3217" s="2" customFormat="1"/>
    <row r="3218" s="2" customFormat="1"/>
    <row r="3219" s="2" customFormat="1"/>
    <row r="3220" s="2" customFormat="1"/>
    <row r="3221" s="2" customFormat="1"/>
    <row r="3222" s="2" customFormat="1"/>
    <row r="3223" s="2" customFormat="1"/>
    <row r="3224" s="2" customFormat="1"/>
    <row r="3225" s="2" customFormat="1"/>
    <row r="3226" s="2" customFormat="1"/>
    <row r="3227" s="2" customFormat="1"/>
    <row r="3228" s="2" customFormat="1"/>
    <row r="3229" s="2" customFormat="1"/>
    <row r="3230" s="2" customFormat="1"/>
    <row r="3231" s="2" customFormat="1"/>
    <row r="3232" s="2" customFormat="1"/>
    <row r="3233" s="2" customFormat="1"/>
    <row r="3234" s="2" customFormat="1"/>
    <row r="3235" s="2" customFormat="1"/>
    <row r="3236" s="2" customFormat="1"/>
    <row r="3237" s="2" customFormat="1"/>
    <row r="3238" s="2" customFormat="1"/>
    <row r="3239" s="2" customFormat="1"/>
    <row r="3240" s="2" customFormat="1"/>
    <row r="3241" s="2" customFormat="1"/>
    <row r="3242" s="2" customFormat="1"/>
    <row r="3243" s="2" customFormat="1"/>
    <row r="3244" s="2" customFormat="1"/>
    <row r="3245" s="2" customFormat="1"/>
    <row r="3246" s="2" customFormat="1"/>
    <row r="3247" s="2" customFormat="1"/>
    <row r="3248" s="2" customFormat="1"/>
    <row r="3249" s="2" customFormat="1"/>
    <row r="3250" s="2" customFormat="1"/>
    <row r="3251" s="2" customFormat="1"/>
    <row r="3252" s="2" customFormat="1"/>
    <row r="3253" s="2" customFormat="1"/>
    <row r="3254" s="2" customFormat="1"/>
    <row r="3255" s="2" customFormat="1"/>
    <row r="3256" s="2" customFormat="1"/>
    <row r="3257" s="2" customFormat="1"/>
    <row r="3258" s="2" customFormat="1"/>
    <row r="3259" s="2" customFormat="1"/>
    <row r="3260" s="2" customFormat="1"/>
    <row r="3261" s="2" customFormat="1"/>
    <row r="3262" s="2" customFormat="1"/>
    <row r="3263" s="2" customFormat="1"/>
    <row r="3264" s="2" customFormat="1"/>
    <row r="3265" s="2" customFormat="1"/>
    <row r="3266" s="2" customFormat="1"/>
    <row r="3267" s="2" customFormat="1"/>
    <row r="3268" s="2" customFormat="1"/>
    <row r="3269" s="2" customFormat="1"/>
    <row r="3270" s="2" customFormat="1"/>
    <row r="3271" s="2" customFormat="1"/>
    <row r="3272" s="2" customFormat="1"/>
    <row r="3273" s="2" customFormat="1"/>
    <row r="3274" s="2" customFormat="1"/>
    <row r="3275" s="2" customFormat="1"/>
    <row r="3276" s="2" customFormat="1"/>
    <row r="3277" s="2" customFormat="1"/>
    <row r="3278" s="2" customFormat="1"/>
    <row r="3279" s="2" customFormat="1"/>
    <row r="3280" s="2" customFormat="1"/>
    <row r="3281" s="2" customFormat="1"/>
    <row r="3282" s="2" customFormat="1"/>
    <row r="3283" s="2" customFormat="1"/>
    <row r="3284" s="2" customFormat="1"/>
    <row r="3285" s="2" customFormat="1"/>
    <row r="3286" s="2" customFormat="1"/>
    <row r="3287" s="2" customFormat="1"/>
    <row r="3288" s="2" customFormat="1"/>
    <row r="3289" s="2" customFormat="1"/>
    <row r="3290" s="2" customFormat="1"/>
    <row r="3291" s="2" customFormat="1"/>
    <row r="3292" s="2" customFormat="1"/>
    <row r="3293" s="2" customFormat="1"/>
    <row r="3294" s="2" customFormat="1"/>
    <row r="3295" s="2" customFormat="1"/>
    <row r="3296" s="2" customFormat="1"/>
    <row r="3297" s="2" customFormat="1"/>
    <row r="3298" s="2" customFormat="1"/>
    <row r="3299" s="2" customFormat="1"/>
    <row r="3300" s="2" customFormat="1"/>
    <row r="3301" s="2" customFormat="1"/>
    <row r="3302" s="2" customFormat="1"/>
    <row r="3303" s="2" customFormat="1"/>
    <row r="3304" s="2" customFormat="1"/>
    <row r="3305" s="2" customFormat="1"/>
    <row r="3306" s="2" customFormat="1"/>
    <row r="3307" s="2" customFormat="1"/>
    <row r="3308" s="2" customFormat="1"/>
    <row r="3309" s="2" customFormat="1"/>
    <row r="3310" s="2" customFormat="1"/>
    <row r="3311" s="2" customFormat="1"/>
    <row r="3312" s="2" customFormat="1"/>
    <row r="3313" s="2" customFormat="1"/>
    <row r="3314" s="2" customFormat="1"/>
    <row r="3315" s="2" customFormat="1"/>
    <row r="3316" s="2" customFormat="1"/>
    <row r="3317" s="2" customFormat="1"/>
    <row r="3318" s="2" customFormat="1"/>
    <row r="3319" s="2" customFormat="1"/>
    <row r="3320" s="2" customFormat="1"/>
    <row r="3321" s="2" customFormat="1"/>
    <row r="3322" s="2" customFormat="1"/>
    <row r="3323" s="2" customFormat="1"/>
    <row r="3324" s="2" customFormat="1"/>
    <row r="3325" s="2" customFormat="1"/>
    <row r="3326" s="2" customFormat="1"/>
    <row r="3327" s="2" customFormat="1"/>
    <row r="3328" s="2" customFormat="1"/>
    <row r="3329" s="2" customFormat="1"/>
    <row r="3330" s="2" customFormat="1"/>
    <row r="3331" s="2" customFormat="1"/>
    <row r="3332" s="2" customFormat="1"/>
    <row r="3333" s="2" customFormat="1"/>
    <row r="3334" s="2" customFormat="1"/>
    <row r="3335" s="2" customFormat="1"/>
    <row r="3336" s="2" customFormat="1"/>
    <row r="3337" s="2" customFormat="1"/>
    <row r="3338" s="2" customFormat="1"/>
    <row r="3339" s="2" customFormat="1"/>
    <row r="3340" s="2" customFormat="1"/>
    <row r="3341" s="2" customFormat="1"/>
    <row r="3342" s="2" customFormat="1"/>
    <row r="3343" s="2" customFormat="1"/>
    <row r="3344" s="2" customFormat="1"/>
    <row r="3345" s="2" customFormat="1"/>
    <row r="3346" s="2" customFormat="1"/>
    <row r="3347" s="2" customFormat="1"/>
    <row r="3348" s="2" customFormat="1"/>
    <row r="3349" s="2" customFormat="1"/>
    <row r="3350" s="2" customFormat="1"/>
    <row r="3351" s="2" customFormat="1"/>
    <row r="3352" s="2" customFormat="1"/>
    <row r="3353" s="2" customFormat="1"/>
    <row r="3354" s="2" customFormat="1"/>
    <row r="3355" s="2" customFormat="1"/>
    <row r="3356" s="2" customFormat="1"/>
    <row r="3357" s="2" customFormat="1"/>
    <row r="3358" s="2" customFormat="1"/>
    <row r="3359" s="2" customFormat="1"/>
    <row r="3360" s="2" customFormat="1"/>
    <row r="3361" s="2" customFormat="1"/>
    <row r="3362" s="2" customFormat="1"/>
    <row r="3363" s="2" customFormat="1"/>
    <row r="3364" s="2" customFormat="1"/>
    <row r="3365" s="2" customFormat="1"/>
    <row r="3366" s="2" customFormat="1"/>
    <row r="3367" s="2" customFormat="1"/>
    <row r="3368" s="2" customFormat="1"/>
    <row r="3369" s="2" customFormat="1"/>
    <row r="3370" s="2" customFormat="1"/>
    <row r="3371" s="2" customFormat="1"/>
    <row r="3372" s="2" customFormat="1"/>
    <row r="3373" s="2" customFormat="1"/>
    <row r="3374" s="2" customFormat="1"/>
    <row r="3375" s="2" customFormat="1"/>
    <row r="3376" s="2" customFormat="1"/>
    <row r="3377" s="2" customFormat="1"/>
    <row r="3378" s="2" customFormat="1"/>
    <row r="3379" s="2" customFormat="1"/>
    <row r="3380" s="2" customFormat="1"/>
    <row r="3381" s="2" customFormat="1"/>
    <row r="3382" s="2" customFormat="1"/>
    <row r="3383" s="2" customFormat="1"/>
    <row r="3384" s="2" customFormat="1"/>
    <row r="3385" s="2" customFormat="1"/>
    <row r="3386" s="2" customFormat="1"/>
    <row r="3387" s="2" customFormat="1"/>
    <row r="3388" s="2" customFormat="1"/>
    <row r="3389" s="2" customFormat="1"/>
    <row r="3390" s="2" customFormat="1"/>
    <row r="3391" s="2" customFormat="1"/>
    <row r="3392" s="2" customFormat="1"/>
    <row r="3393" s="2" customFormat="1"/>
    <row r="3394" s="2" customFormat="1"/>
    <row r="3395" s="2" customFormat="1"/>
    <row r="3396" s="2" customFormat="1"/>
    <row r="3397" s="2" customFormat="1"/>
    <row r="3398" s="2" customFormat="1"/>
    <row r="3399" s="2" customFormat="1"/>
    <row r="3400" s="2" customFormat="1"/>
    <row r="3401" s="2" customFormat="1"/>
    <row r="3402" s="2" customFormat="1"/>
    <row r="3403" s="2" customFormat="1"/>
    <row r="3404" s="2" customFormat="1"/>
    <row r="3405" s="2" customFormat="1"/>
    <row r="3406" s="2" customFormat="1"/>
    <row r="3407" s="2" customFormat="1"/>
    <row r="3408" s="2" customFormat="1"/>
    <row r="3409" s="2" customFormat="1"/>
    <row r="3410" s="2" customFormat="1"/>
    <row r="3411" s="2" customFormat="1"/>
    <row r="3412" s="2" customFormat="1"/>
    <row r="3413" s="2" customFormat="1"/>
    <row r="3414" s="2" customFormat="1"/>
    <row r="3415" s="2" customFormat="1"/>
    <row r="3416" s="2" customFormat="1"/>
    <row r="3417" s="2" customFormat="1"/>
    <row r="3418" s="2" customFormat="1"/>
    <row r="3419" s="2" customFormat="1"/>
    <row r="3420" s="2" customFormat="1"/>
    <row r="3421" s="2" customFormat="1"/>
    <row r="3422" s="2" customFormat="1"/>
    <row r="3423" s="2" customFormat="1"/>
    <row r="3424" s="2" customFormat="1"/>
    <row r="3425" s="2" customFormat="1"/>
    <row r="3426" s="2" customFormat="1"/>
    <row r="3427" s="2" customFormat="1"/>
    <row r="3428" s="2" customFormat="1"/>
    <row r="3429" s="2" customFormat="1"/>
    <row r="3430" s="2" customFormat="1"/>
    <row r="3431" s="2" customFormat="1"/>
    <row r="3432" s="2" customFormat="1"/>
    <row r="3433" s="2" customFormat="1"/>
    <row r="3434" s="2" customFormat="1"/>
    <row r="3435" s="2" customFormat="1"/>
    <row r="3436" s="2" customFormat="1"/>
    <row r="3437" s="2" customFormat="1"/>
    <row r="3438" s="2" customFormat="1"/>
    <row r="3439" s="2" customFormat="1"/>
    <row r="3440" s="2" customFormat="1"/>
    <row r="3441" s="2" customFormat="1"/>
    <row r="3442" s="2" customFormat="1"/>
    <row r="3443" s="2" customFormat="1"/>
    <row r="3444" s="2" customFormat="1"/>
    <row r="3445" s="2" customFormat="1"/>
    <row r="3446" s="2" customFormat="1"/>
    <row r="3447" s="2" customFormat="1"/>
    <row r="3448" s="2" customFormat="1"/>
    <row r="3449" s="2" customFormat="1"/>
    <row r="3450" s="2" customFormat="1"/>
    <row r="3451" s="2" customFormat="1"/>
    <row r="3452" s="2" customFormat="1"/>
    <row r="3453" s="2" customFormat="1"/>
    <row r="3454" s="2" customFormat="1"/>
    <row r="3455" s="2" customFormat="1"/>
    <row r="3456" s="2" customFormat="1"/>
    <row r="3457" s="2" customFormat="1"/>
    <row r="3458" s="2" customFormat="1"/>
    <row r="3459" s="2" customFormat="1"/>
    <row r="3460" s="2" customFormat="1"/>
    <row r="3461" s="2" customFormat="1"/>
    <row r="3462" s="2" customFormat="1"/>
    <row r="3463" s="2" customFormat="1"/>
    <row r="3464" s="2" customFormat="1"/>
    <row r="3465" s="2" customFormat="1"/>
    <row r="3466" s="2" customFormat="1"/>
    <row r="3467" s="2" customFormat="1"/>
    <row r="3468" s="2" customFormat="1"/>
    <row r="3469" s="2" customFormat="1"/>
    <row r="3470" s="2" customFormat="1"/>
    <row r="3471" s="2" customFormat="1"/>
    <row r="3472" s="2" customFormat="1"/>
    <row r="3473" s="2" customFormat="1"/>
    <row r="3474" s="2" customFormat="1"/>
    <row r="3475" s="2" customFormat="1"/>
    <row r="3476" s="2" customFormat="1"/>
    <row r="3477" s="2" customFormat="1"/>
    <row r="3478" s="2" customFormat="1"/>
    <row r="3479" s="2" customFormat="1"/>
    <row r="3480" s="2" customFormat="1"/>
    <row r="3481" s="2" customFormat="1"/>
    <row r="3482" s="2" customFormat="1"/>
    <row r="3483" s="2" customFormat="1"/>
    <row r="3484" s="2" customFormat="1"/>
    <row r="3485" s="2" customFormat="1"/>
    <row r="3486" s="2" customFormat="1"/>
    <row r="3487" s="2" customFormat="1"/>
    <row r="3488" s="2" customFormat="1"/>
    <row r="3489" s="2" customFormat="1"/>
    <row r="3490" s="2" customFormat="1"/>
    <row r="3491" s="2" customFormat="1"/>
    <row r="3492" s="2" customFormat="1"/>
    <row r="3493" s="2" customFormat="1"/>
    <row r="3494" s="2" customFormat="1"/>
    <row r="3495" s="2" customFormat="1"/>
    <row r="3496" s="2" customFormat="1"/>
    <row r="3497" s="2" customFormat="1"/>
    <row r="3498" s="2" customFormat="1"/>
    <row r="3499" s="2" customFormat="1"/>
    <row r="3500" s="2" customFormat="1"/>
    <row r="3501" s="2" customFormat="1"/>
    <row r="3502" s="2" customFormat="1"/>
    <row r="3503" s="2" customFormat="1"/>
    <row r="3504" s="2" customFormat="1"/>
    <row r="3505" s="2" customFormat="1"/>
    <row r="3506" s="2" customFormat="1"/>
    <row r="3507" s="2" customFormat="1"/>
    <row r="3508" s="2" customFormat="1"/>
    <row r="3509" s="2" customFormat="1"/>
    <row r="3510" s="2" customFormat="1"/>
    <row r="3511" s="2" customFormat="1"/>
    <row r="3512" s="2" customFormat="1"/>
    <row r="3513" s="2" customFormat="1"/>
    <row r="3514" s="2" customFormat="1"/>
    <row r="3515" s="2" customFormat="1"/>
    <row r="3516" s="2" customFormat="1"/>
    <row r="3517" s="2" customFormat="1"/>
    <row r="3518" s="2" customFormat="1"/>
    <row r="3519" s="2" customFormat="1"/>
    <row r="3520" s="2" customFormat="1"/>
    <row r="3521" s="2" customFormat="1"/>
    <row r="3522" s="2" customFormat="1"/>
    <row r="3523" s="2" customFormat="1"/>
    <row r="3524" s="2" customFormat="1"/>
    <row r="3525" s="2" customFormat="1"/>
    <row r="3526" s="2" customFormat="1"/>
    <row r="3527" s="2" customFormat="1"/>
    <row r="3528" s="2" customFormat="1"/>
    <row r="3529" s="2" customFormat="1"/>
    <row r="3530" s="2" customFormat="1"/>
    <row r="3531" s="2" customFormat="1"/>
    <row r="3532" s="2" customFormat="1"/>
    <row r="3533" s="2" customFormat="1"/>
    <row r="3534" s="2" customFormat="1"/>
    <row r="3535" s="2" customFormat="1"/>
    <row r="3536" s="2" customFormat="1"/>
    <row r="3537" s="2" customFormat="1"/>
    <row r="3538" s="2" customFormat="1"/>
    <row r="3539" s="2" customFormat="1"/>
    <row r="3540" s="2" customFormat="1"/>
    <row r="3541" s="2" customFormat="1"/>
    <row r="3542" s="2" customFormat="1"/>
    <row r="3543" s="2" customFormat="1"/>
    <row r="3544" s="2" customFormat="1"/>
    <row r="3545" s="2" customFormat="1"/>
    <row r="3546" s="2" customFormat="1"/>
    <row r="3547" s="2" customFormat="1"/>
    <row r="3548" s="2" customFormat="1"/>
    <row r="3549" s="2" customFormat="1"/>
    <row r="3550" s="2" customFormat="1"/>
    <row r="3551" s="2" customFormat="1"/>
    <row r="3552" s="2" customFormat="1"/>
    <row r="3553" s="2" customFormat="1"/>
    <row r="3554" s="2" customFormat="1"/>
    <row r="3555" s="2" customFormat="1"/>
    <row r="3556" s="2" customFormat="1"/>
    <row r="3557" s="2" customFormat="1"/>
    <row r="3558" s="2" customFormat="1"/>
    <row r="3559" s="2" customFormat="1"/>
    <row r="3560" s="2" customFormat="1"/>
    <row r="3561" s="2" customFormat="1"/>
    <row r="3562" s="2" customFormat="1"/>
    <row r="3563" s="2" customFormat="1"/>
    <row r="3564" s="2" customFormat="1"/>
    <row r="3565" s="2" customFormat="1"/>
    <row r="3566" s="2" customFormat="1"/>
    <row r="3567" s="2" customFormat="1"/>
    <row r="3568" s="2" customFormat="1"/>
    <row r="3569" s="2" customFormat="1"/>
    <row r="3570" s="2" customFormat="1"/>
    <row r="3571" s="2" customFormat="1"/>
    <row r="3572" s="2" customFormat="1"/>
    <row r="3573" s="2" customFormat="1"/>
    <row r="3574" s="2" customFormat="1"/>
    <row r="3575" s="2" customFormat="1"/>
    <row r="3576" s="2" customFormat="1"/>
    <row r="3577" s="2" customFormat="1"/>
    <row r="3578" s="2" customFormat="1"/>
    <row r="3579" s="2" customFormat="1"/>
    <row r="3580" s="2" customFormat="1"/>
    <row r="3581" s="2" customFormat="1"/>
    <row r="3582" s="2" customFormat="1"/>
    <row r="3583" s="2" customFormat="1"/>
    <row r="3584" s="2" customFormat="1"/>
    <row r="3585" s="2" customFormat="1"/>
    <row r="3586" s="2" customFormat="1"/>
    <row r="3587" s="2" customFormat="1"/>
    <row r="3588" s="2" customFormat="1"/>
    <row r="3589" s="2" customFormat="1"/>
    <row r="3590" s="2" customFormat="1"/>
    <row r="3591" s="2" customFormat="1"/>
    <row r="3592" s="2" customFormat="1"/>
    <row r="3593" s="2" customFormat="1"/>
    <row r="3594" s="2" customFormat="1"/>
    <row r="3595" s="2" customFormat="1"/>
    <row r="3596" s="2" customFormat="1"/>
    <row r="3597" s="2" customFormat="1"/>
    <row r="3598" s="2" customFormat="1"/>
    <row r="3599" s="2" customFormat="1"/>
    <row r="3600" s="2" customFormat="1"/>
    <row r="3601" s="2" customFormat="1"/>
    <row r="3602" s="2" customFormat="1"/>
    <row r="3603" s="2" customFormat="1"/>
    <row r="3604" s="2" customFormat="1"/>
    <row r="3605" s="2" customFormat="1"/>
    <row r="3606" s="2" customFormat="1"/>
    <row r="3607" s="2" customFormat="1"/>
    <row r="3608" s="2" customFormat="1"/>
    <row r="3609" s="2" customFormat="1"/>
    <row r="3610" s="2" customFormat="1"/>
    <row r="3611" s="2" customFormat="1"/>
    <row r="3612" s="2" customFormat="1"/>
    <row r="3613" s="2" customFormat="1"/>
    <row r="3614" s="2" customFormat="1"/>
    <row r="3615" s="2" customFormat="1"/>
    <row r="3616" s="2" customFormat="1"/>
    <row r="3617" s="2" customFormat="1"/>
    <row r="3618" s="2" customFormat="1"/>
    <row r="3619" s="2" customFormat="1"/>
    <row r="3620" s="2" customFormat="1"/>
    <row r="3621" s="2" customFormat="1"/>
    <row r="3622" s="2" customFormat="1"/>
    <row r="3623" s="2" customFormat="1"/>
    <row r="3624" s="2" customFormat="1"/>
    <row r="3625" s="2" customFormat="1"/>
    <row r="3626" s="2" customFormat="1"/>
    <row r="3627" s="2" customFormat="1"/>
    <row r="3628" s="2" customFormat="1"/>
    <row r="3629" s="2" customFormat="1"/>
    <row r="3630" s="2" customFormat="1"/>
    <row r="3631" s="2" customFormat="1"/>
    <row r="3632" s="2" customFormat="1"/>
    <row r="3633" s="2" customFormat="1"/>
    <row r="3634" s="2" customFormat="1"/>
    <row r="3635" s="2" customFormat="1"/>
    <row r="3636" s="2" customFormat="1"/>
    <row r="3637" s="2" customFormat="1"/>
    <row r="3638" s="2" customFormat="1"/>
    <row r="3639" s="2" customFormat="1"/>
    <row r="3640" s="2" customFormat="1"/>
    <row r="3641" s="2" customFormat="1"/>
    <row r="3642" s="2" customFormat="1"/>
    <row r="3643" s="2" customFormat="1"/>
    <row r="3644" s="2" customFormat="1"/>
    <row r="3645" s="2" customFormat="1"/>
    <row r="3646" s="2" customFormat="1"/>
    <row r="3647" s="2" customFormat="1"/>
    <row r="3648" s="2" customFormat="1"/>
    <row r="3649" s="2" customFormat="1"/>
    <row r="3650" s="2" customFormat="1"/>
    <row r="3651" s="2" customFormat="1"/>
    <row r="3652" s="2" customFormat="1"/>
    <row r="3653" s="2" customFormat="1"/>
    <row r="3654" s="2" customFormat="1"/>
    <row r="3655" s="2" customFormat="1"/>
    <row r="3656" s="2" customFormat="1"/>
    <row r="3657" s="2" customFormat="1"/>
    <row r="3658" s="2" customFormat="1"/>
    <row r="3659" s="2" customFormat="1"/>
    <row r="3660" s="2" customFormat="1"/>
    <row r="3661" s="2" customFormat="1"/>
    <row r="3662" s="2" customFormat="1"/>
    <row r="3663" s="2" customFormat="1"/>
    <row r="3664" s="2" customFormat="1"/>
    <row r="3665" s="2" customFormat="1"/>
    <row r="3666" s="2" customFormat="1"/>
    <row r="3667" s="2" customFormat="1"/>
    <row r="3668" s="2" customFormat="1"/>
    <row r="3669" s="2" customFormat="1"/>
    <row r="3670" s="2" customFormat="1"/>
    <row r="3671" s="2" customFormat="1"/>
    <row r="3672" s="2" customFormat="1"/>
    <row r="3673" s="2" customFormat="1"/>
    <row r="3674" s="2" customFormat="1"/>
    <row r="3675" s="2" customFormat="1"/>
    <row r="3676" s="2" customFormat="1"/>
    <row r="3677" s="2" customFormat="1"/>
    <row r="3678" s="2" customFormat="1"/>
    <row r="3679" s="2" customFormat="1"/>
    <row r="3680" s="2" customFormat="1"/>
    <row r="3681" s="2" customFormat="1"/>
    <row r="3682" s="2" customFormat="1"/>
    <row r="3683" s="2" customFormat="1"/>
    <row r="3684" s="2" customFormat="1"/>
    <row r="3685" s="2" customFormat="1"/>
    <row r="3686" s="2" customFormat="1"/>
    <row r="3687" s="2" customFormat="1"/>
    <row r="3688" s="2" customFormat="1"/>
    <row r="3689" s="2" customFormat="1"/>
    <row r="3690" s="2" customFormat="1"/>
    <row r="3691" s="2" customFormat="1"/>
    <row r="3692" s="2" customFormat="1"/>
    <row r="3693" s="2" customFormat="1"/>
    <row r="3694" s="2" customFormat="1"/>
    <row r="3695" s="2" customFormat="1"/>
    <row r="3696" s="2" customFormat="1"/>
    <row r="3697" s="2" customFormat="1"/>
    <row r="3698" s="2" customFormat="1"/>
    <row r="3699" s="2" customFormat="1"/>
    <row r="3700" s="2" customFormat="1"/>
    <row r="3701" s="2" customFormat="1"/>
    <row r="3702" s="2" customFormat="1"/>
    <row r="3703" s="2" customFormat="1"/>
    <row r="3704" s="2" customFormat="1"/>
    <row r="3705" s="2" customFormat="1"/>
    <row r="3706" s="2" customFormat="1"/>
    <row r="3707" s="2" customFormat="1"/>
    <row r="3708" s="2" customFormat="1"/>
    <row r="3709" s="2" customFormat="1"/>
    <row r="3710" s="2" customFormat="1"/>
    <row r="3711" s="2" customFormat="1"/>
    <row r="3712" s="2" customFormat="1"/>
    <row r="3713" s="2" customFormat="1"/>
    <row r="3714" s="2" customFormat="1"/>
    <row r="3715" s="2" customFormat="1"/>
    <row r="3716" s="2" customFormat="1"/>
    <row r="3717" s="2" customFormat="1"/>
    <row r="3718" s="2" customFormat="1"/>
    <row r="3719" s="2" customFormat="1"/>
    <row r="3720" s="2" customFormat="1"/>
    <row r="3721" s="2" customFormat="1"/>
    <row r="3722" s="2" customFormat="1"/>
    <row r="3723" s="2" customFormat="1"/>
    <row r="3724" s="2" customFormat="1"/>
    <row r="3725" s="2" customFormat="1"/>
    <row r="3726" s="2" customFormat="1"/>
    <row r="3727" s="2" customFormat="1"/>
    <row r="3728" s="2" customFormat="1"/>
    <row r="3729" s="2" customFormat="1"/>
    <row r="3730" s="2" customFormat="1"/>
    <row r="3731" s="2" customFormat="1"/>
    <row r="3732" s="2" customFormat="1"/>
    <row r="3733" s="2" customFormat="1"/>
    <row r="3734" s="2" customFormat="1"/>
    <row r="3735" s="2" customFormat="1"/>
    <row r="3736" s="2" customFormat="1"/>
    <row r="3737" s="2" customFormat="1"/>
    <row r="3738" s="2" customFormat="1"/>
    <row r="3739" s="2" customFormat="1"/>
    <row r="3740" s="2" customFormat="1"/>
    <row r="3741" s="2" customFormat="1"/>
    <row r="3742" s="2" customFormat="1"/>
    <row r="3743" s="2" customFormat="1"/>
    <row r="3744" s="2" customFormat="1"/>
    <row r="3745" s="2" customFormat="1"/>
    <row r="3746" s="2" customFormat="1"/>
    <row r="3747" s="2" customFormat="1"/>
    <row r="3748" s="2" customFormat="1"/>
    <row r="3749" s="2" customFormat="1"/>
    <row r="3750" s="2" customFormat="1"/>
    <row r="3751" s="2" customFormat="1"/>
    <row r="3752" s="2" customFormat="1"/>
    <row r="3753" s="2" customFormat="1"/>
    <row r="3754" s="2" customFormat="1"/>
    <row r="3755" s="2" customFormat="1"/>
    <row r="3756" s="2" customFormat="1"/>
    <row r="3757" s="2" customFormat="1"/>
    <row r="3758" s="2" customFormat="1"/>
    <row r="3759" s="2" customFormat="1"/>
    <row r="3760" s="2" customFormat="1"/>
    <row r="3761" s="2" customFormat="1"/>
    <row r="3762" s="2" customFormat="1"/>
    <row r="3763" s="2" customFormat="1"/>
    <row r="3764" s="2" customFormat="1"/>
    <row r="3765" s="2" customFormat="1"/>
    <row r="3766" s="2" customFormat="1"/>
    <row r="3767" s="2" customFormat="1"/>
    <row r="3768" s="2" customFormat="1"/>
    <row r="3769" s="2" customFormat="1"/>
    <row r="3770" s="2" customFormat="1"/>
    <row r="3771" s="2" customFormat="1"/>
    <row r="3772" s="2" customFormat="1"/>
    <row r="3773" s="2" customFormat="1"/>
    <row r="3774" s="2" customFormat="1"/>
    <row r="3775" s="2" customFormat="1"/>
    <row r="3776" s="2" customFormat="1"/>
    <row r="3777" s="2" customFormat="1"/>
    <row r="3778" s="2" customFormat="1"/>
    <row r="3779" s="2" customFormat="1"/>
    <row r="3780" s="2" customFormat="1"/>
    <row r="3781" s="2" customFormat="1"/>
    <row r="3782" s="2" customFormat="1"/>
    <row r="3783" s="2" customFormat="1"/>
    <row r="3784" s="2" customFormat="1"/>
    <row r="3785" s="2" customFormat="1"/>
    <row r="3786" s="2" customFormat="1"/>
    <row r="3787" s="2" customFormat="1"/>
    <row r="3788" s="2" customFormat="1"/>
    <row r="3789" s="2" customFormat="1"/>
    <row r="3790" s="2" customFormat="1"/>
    <row r="3791" s="2" customFormat="1"/>
    <row r="3792" s="2" customFormat="1"/>
    <row r="3793" s="2" customFormat="1"/>
    <row r="3794" s="2" customFormat="1"/>
    <row r="3795" s="2" customFormat="1"/>
    <row r="3796" s="2" customFormat="1"/>
    <row r="3797" s="2" customFormat="1"/>
    <row r="3798" s="2" customFormat="1"/>
    <row r="3799" s="2" customFormat="1"/>
    <row r="3800" s="2" customFormat="1"/>
    <row r="3801" s="2" customFormat="1"/>
    <row r="3802" s="2" customFormat="1"/>
    <row r="3803" s="2" customFormat="1"/>
    <row r="3804" s="2" customFormat="1"/>
    <row r="3805" s="2" customFormat="1"/>
    <row r="3806" s="2" customFormat="1"/>
    <row r="3807" s="2" customFormat="1"/>
    <row r="3808" s="2" customFormat="1"/>
    <row r="3809" s="2" customFormat="1"/>
    <row r="3810" s="2" customFormat="1"/>
    <row r="3811" s="2" customFormat="1"/>
    <row r="3812" s="2" customFormat="1"/>
    <row r="3813" s="2" customFormat="1"/>
    <row r="3814" s="2" customFormat="1"/>
    <row r="3815" s="2" customFormat="1"/>
    <row r="3816" s="2" customFormat="1"/>
    <row r="3817" s="2" customFormat="1"/>
    <row r="3818" s="2" customFormat="1"/>
    <row r="3819" s="2" customFormat="1"/>
    <row r="3820" s="2" customFormat="1"/>
    <row r="3821" s="2" customFormat="1"/>
    <row r="3822" s="2" customFormat="1"/>
    <row r="3823" s="2" customFormat="1"/>
    <row r="3824" s="2" customFormat="1"/>
    <row r="3825" s="2" customFormat="1"/>
    <row r="3826" s="2" customFormat="1"/>
    <row r="3827" s="2" customFormat="1"/>
    <row r="3828" s="2" customFormat="1"/>
    <row r="3829" s="2" customFormat="1"/>
    <row r="3830" s="2" customFormat="1"/>
    <row r="3831" s="2" customFormat="1"/>
    <row r="3832" s="2" customFormat="1"/>
    <row r="3833" s="2" customFormat="1"/>
    <row r="3834" s="2" customFormat="1"/>
    <row r="3835" s="2" customFormat="1"/>
    <row r="3836" s="2" customFormat="1"/>
    <row r="3837" s="2" customFormat="1"/>
    <row r="3838" s="2" customFormat="1"/>
    <row r="3839" s="2" customFormat="1"/>
    <row r="3840" s="2" customFormat="1"/>
    <row r="3841" s="2" customFormat="1"/>
    <row r="3842" s="2" customFormat="1"/>
    <row r="3843" s="2" customFormat="1"/>
    <row r="3844" s="2" customFormat="1"/>
    <row r="3845" s="2" customFormat="1"/>
    <row r="3846" s="2" customFormat="1"/>
    <row r="3847" s="2" customFormat="1"/>
    <row r="3848" s="2" customFormat="1"/>
    <row r="3849" s="2" customFormat="1"/>
    <row r="3850" s="2" customFormat="1"/>
    <row r="3851" s="2" customFormat="1"/>
    <row r="3852" s="2" customFormat="1"/>
    <row r="3853" s="2" customFormat="1"/>
    <row r="3854" s="2" customFormat="1"/>
    <row r="3855" s="2" customFormat="1"/>
    <row r="3856" s="2" customFormat="1"/>
    <row r="3857" s="2" customFormat="1"/>
    <row r="3858" s="2" customFormat="1"/>
    <row r="3859" s="2" customFormat="1"/>
    <row r="3860" s="2" customFormat="1"/>
    <row r="3861" s="2" customFormat="1"/>
    <row r="3862" s="2" customFormat="1"/>
    <row r="3863" s="2" customFormat="1"/>
    <row r="3864" s="2" customFormat="1"/>
    <row r="3865" s="2" customFormat="1"/>
    <row r="3866" s="2" customFormat="1"/>
    <row r="3867" s="2" customFormat="1"/>
    <row r="3868" s="2" customFormat="1"/>
    <row r="3869" s="2" customFormat="1"/>
    <row r="3870" s="2" customFormat="1"/>
    <row r="3871" s="2" customFormat="1"/>
    <row r="3872" s="2" customFormat="1"/>
    <row r="3873" s="2" customFormat="1"/>
    <row r="3874" s="2" customFormat="1"/>
    <row r="3875" s="2" customFormat="1"/>
    <row r="3876" s="2" customFormat="1"/>
    <row r="3877" s="2" customFormat="1"/>
    <row r="3878" s="2" customFormat="1"/>
    <row r="3879" s="2" customFormat="1"/>
    <row r="3880" s="2" customFormat="1"/>
    <row r="3881" s="2" customFormat="1"/>
    <row r="3882" s="2" customFormat="1"/>
    <row r="3883" s="2" customFormat="1"/>
    <row r="3884" s="2" customFormat="1"/>
    <row r="3885" s="2" customFormat="1"/>
    <row r="3886" s="2" customFormat="1"/>
    <row r="3887" s="2" customFormat="1"/>
    <row r="3888" s="2" customFormat="1"/>
    <row r="3889" s="2" customFormat="1"/>
    <row r="3890" s="2" customFormat="1"/>
    <row r="3891" s="2" customFormat="1"/>
    <row r="3892" s="2" customFormat="1"/>
    <row r="3893" s="2" customFormat="1"/>
    <row r="3894" s="2" customFormat="1"/>
    <row r="3895" s="2" customFormat="1"/>
    <row r="3896" s="2" customFormat="1"/>
    <row r="3897" s="2" customFormat="1"/>
    <row r="3898" s="2" customFormat="1"/>
    <row r="3899" s="2" customFormat="1"/>
    <row r="3900" s="2" customFormat="1"/>
    <row r="3901" s="2" customFormat="1"/>
    <row r="3902" s="2" customFormat="1"/>
    <row r="3903" s="2" customFormat="1"/>
    <row r="3904" s="2" customFormat="1"/>
    <row r="3905" s="2" customFormat="1"/>
    <row r="3906" s="2" customFormat="1"/>
    <row r="3907" s="2" customFormat="1"/>
    <row r="3908" s="2" customFormat="1"/>
    <row r="3909" s="2" customFormat="1"/>
    <row r="3910" s="2" customFormat="1"/>
    <row r="3911" s="2" customFormat="1"/>
    <row r="3912" s="2" customFormat="1"/>
    <row r="3913" s="2" customFormat="1"/>
    <row r="3914" s="2" customFormat="1"/>
    <row r="3915" s="2" customFormat="1"/>
    <row r="3916" s="2" customFormat="1"/>
    <row r="3917" s="2" customFormat="1"/>
    <row r="3918" s="2" customFormat="1"/>
    <row r="3919" s="2" customFormat="1"/>
    <row r="3920" s="2" customFormat="1"/>
    <row r="3921" s="2" customFormat="1"/>
    <row r="3922" s="2" customFormat="1"/>
    <row r="3923" s="2" customFormat="1"/>
    <row r="3924" s="2" customFormat="1"/>
    <row r="3925" s="2" customFormat="1"/>
    <row r="3926" s="2" customFormat="1"/>
    <row r="3927" s="2" customFormat="1"/>
    <row r="3928" s="2" customFormat="1"/>
    <row r="3929" s="2" customFormat="1"/>
    <row r="3930" s="2" customFormat="1"/>
    <row r="3931" s="2" customFormat="1"/>
    <row r="3932" s="2" customFormat="1"/>
    <row r="3933" s="2" customFormat="1"/>
    <row r="3934" s="2" customFormat="1"/>
    <row r="3935" s="2" customFormat="1"/>
    <row r="3936" s="2" customFormat="1"/>
    <row r="3937" s="2" customFormat="1"/>
    <row r="3938" s="2" customFormat="1"/>
    <row r="3939" s="2" customFormat="1"/>
    <row r="3940" s="2" customFormat="1"/>
    <row r="3941" s="2" customFormat="1"/>
    <row r="3942" s="2" customFormat="1"/>
    <row r="3943" s="2" customFormat="1"/>
    <row r="3944" s="2" customFormat="1"/>
    <row r="3945" s="2" customFormat="1"/>
    <row r="3946" s="2" customFormat="1"/>
    <row r="3947" s="2" customFormat="1"/>
    <row r="3948" s="2" customFormat="1"/>
    <row r="3949" s="2" customFormat="1"/>
    <row r="3950" s="2" customFormat="1"/>
    <row r="3951" s="2" customFormat="1"/>
    <row r="3952" s="2" customFormat="1"/>
    <row r="3953" s="2" customFormat="1"/>
    <row r="3954" s="2" customFormat="1"/>
    <row r="3955" s="2" customFormat="1"/>
    <row r="3956" s="2" customFormat="1"/>
    <row r="3957" s="2" customFormat="1"/>
    <row r="3958" s="2" customFormat="1"/>
    <row r="3959" s="2" customFormat="1"/>
    <row r="3960" s="2" customFormat="1"/>
    <row r="3961" s="2" customFormat="1"/>
    <row r="3962" s="2" customFormat="1"/>
    <row r="3963" s="2" customFormat="1"/>
    <row r="3964" s="2" customFormat="1"/>
    <row r="3965" s="2" customFormat="1"/>
    <row r="3966" s="2" customFormat="1"/>
    <row r="3967" s="2" customFormat="1"/>
    <row r="3968" s="2" customFormat="1"/>
    <row r="3969" s="2" customFormat="1"/>
    <row r="3970" s="2" customFormat="1"/>
    <row r="3971" s="2" customFormat="1"/>
    <row r="3972" s="2" customFormat="1"/>
    <row r="3973" s="2" customFormat="1"/>
    <row r="3974" s="2" customFormat="1"/>
    <row r="3975" s="2" customFormat="1"/>
    <row r="3976" s="2" customFormat="1"/>
    <row r="3977" s="2" customFormat="1"/>
    <row r="3978" s="2" customFormat="1"/>
    <row r="3979" s="2" customFormat="1"/>
    <row r="3980" s="2" customFormat="1"/>
    <row r="3981" s="2" customFormat="1"/>
    <row r="3982" s="2" customFormat="1"/>
    <row r="3983" s="2" customFormat="1"/>
    <row r="3984" s="2" customFormat="1"/>
    <row r="3985" s="2" customFormat="1"/>
    <row r="3986" s="2" customFormat="1"/>
    <row r="3987" s="2" customFormat="1"/>
    <row r="3988" s="2" customFormat="1"/>
    <row r="3989" s="2" customFormat="1"/>
    <row r="3990" s="2" customFormat="1"/>
    <row r="3991" s="2" customFormat="1"/>
    <row r="3992" s="2" customFormat="1"/>
    <row r="3993" s="2" customFormat="1"/>
    <row r="3994" s="2" customFormat="1"/>
    <row r="3995" s="2" customFormat="1"/>
    <row r="3996" s="2" customFormat="1"/>
    <row r="3997" s="2" customFormat="1"/>
    <row r="3998" s="2" customFormat="1"/>
    <row r="3999" s="2" customFormat="1"/>
    <row r="4000" s="2" customFormat="1"/>
    <row r="4001" s="2" customFormat="1"/>
    <row r="4002" s="2" customFormat="1"/>
    <row r="4003" s="2" customFormat="1"/>
    <row r="4004" s="2" customFormat="1"/>
    <row r="4005" s="2" customFormat="1"/>
    <row r="4006" s="2" customFormat="1"/>
    <row r="4007" s="2" customFormat="1"/>
    <row r="4008" s="2" customFormat="1"/>
    <row r="4009" s="2" customFormat="1"/>
    <row r="4010" s="2" customFormat="1"/>
    <row r="4011" s="2" customFormat="1"/>
    <row r="4012" s="2" customFormat="1"/>
    <row r="4013" s="2" customFormat="1"/>
    <row r="4014" s="2" customFormat="1"/>
    <row r="4015" s="2" customFormat="1"/>
    <row r="4016" s="2" customFormat="1"/>
    <row r="4017" s="2" customFormat="1"/>
    <row r="4018" s="2" customFormat="1"/>
    <row r="4019" s="2" customFormat="1"/>
    <row r="4020" s="2" customFormat="1"/>
    <row r="4021" s="2" customFormat="1"/>
    <row r="4022" s="2" customFormat="1"/>
    <row r="4023" s="2" customFormat="1"/>
    <row r="4024" s="2" customFormat="1"/>
    <row r="4025" s="2" customFormat="1"/>
    <row r="4026" s="2" customFormat="1"/>
    <row r="4027" s="2" customFormat="1"/>
    <row r="4028" s="2" customFormat="1"/>
    <row r="4029" s="2" customFormat="1"/>
    <row r="4030" s="2" customFormat="1"/>
    <row r="4031" s="2" customFormat="1"/>
    <row r="4032" s="2" customFormat="1"/>
    <row r="4033" s="2" customFormat="1"/>
    <row r="4034" s="2" customFormat="1"/>
    <row r="4035" s="2" customFormat="1"/>
    <row r="4036" s="2" customFormat="1"/>
    <row r="4037" s="2" customFormat="1"/>
    <row r="4038" s="2" customFormat="1"/>
    <row r="4039" s="2" customFormat="1"/>
    <row r="4040" s="2" customFormat="1"/>
    <row r="4041" s="2" customFormat="1"/>
    <row r="4042" s="2" customFormat="1"/>
    <row r="4043" s="2" customFormat="1"/>
    <row r="4044" s="2" customFormat="1"/>
    <row r="4045" s="2" customFormat="1"/>
    <row r="4046" s="2" customFormat="1"/>
    <row r="4047" s="2" customFormat="1"/>
    <row r="4048" s="2" customFormat="1"/>
    <row r="4049" s="2" customFormat="1"/>
    <row r="4050" s="2" customFormat="1"/>
    <row r="4051" s="2" customFormat="1"/>
    <row r="4052" s="2" customFormat="1"/>
    <row r="4053" s="2" customFormat="1"/>
    <row r="4054" s="2" customFormat="1"/>
    <row r="4055" s="2" customFormat="1"/>
    <row r="4056" s="2" customFormat="1"/>
    <row r="4057" s="2" customFormat="1"/>
    <row r="4058" s="2" customFormat="1"/>
    <row r="4059" s="2" customFormat="1"/>
    <row r="4060" s="2" customFormat="1"/>
    <row r="4061" s="2" customFormat="1"/>
    <row r="4062" s="2" customFormat="1"/>
    <row r="4063" s="2" customFormat="1"/>
    <row r="4064" s="2" customFormat="1"/>
    <row r="4065" s="2" customFormat="1"/>
    <row r="4066" s="2" customFormat="1"/>
    <row r="4067" s="2" customFormat="1"/>
    <row r="4068" s="2" customFormat="1"/>
    <row r="4069" s="2" customFormat="1"/>
    <row r="4070" s="2" customFormat="1"/>
    <row r="4071" s="2" customFormat="1"/>
    <row r="4072" s="2" customFormat="1"/>
    <row r="4073" s="2" customFormat="1"/>
    <row r="4074" s="2" customFormat="1"/>
    <row r="4075" s="2" customFormat="1"/>
    <row r="4076" s="2" customFormat="1"/>
    <row r="4077" s="2" customFormat="1"/>
    <row r="4078" s="2" customFormat="1"/>
    <row r="4079" s="2" customFormat="1"/>
    <row r="4080" s="2" customFormat="1"/>
    <row r="4081" s="2" customFormat="1"/>
    <row r="4082" s="2" customFormat="1"/>
    <row r="4083" s="2" customFormat="1"/>
    <row r="4084" s="2" customFormat="1"/>
    <row r="4085" s="2" customFormat="1"/>
    <row r="4086" s="2" customFormat="1"/>
    <row r="4087" s="2" customFormat="1"/>
    <row r="4088" s="2" customFormat="1"/>
    <row r="4089" s="2" customFormat="1"/>
    <row r="4090" s="2" customFormat="1"/>
    <row r="4091" s="2" customFormat="1"/>
    <row r="4092" s="2" customFormat="1"/>
    <row r="4093" s="2" customFormat="1"/>
    <row r="4094" s="2" customFormat="1"/>
    <row r="4095" s="2" customFormat="1"/>
    <row r="4096" s="2" customFormat="1"/>
    <row r="4097" s="2" customFormat="1"/>
    <row r="4098" s="2" customFormat="1"/>
    <row r="4099" s="2" customFormat="1"/>
    <row r="4100" s="2" customFormat="1"/>
    <row r="4101" s="2" customFormat="1"/>
    <row r="4102" s="2" customFormat="1"/>
    <row r="4103" s="2" customFormat="1"/>
    <row r="4104" s="2" customFormat="1"/>
    <row r="4105" s="2" customFormat="1"/>
    <row r="4106" s="2" customFormat="1"/>
    <row r="4107" s="2" customFormat="1"/>
    <row r="4108" s="2" customFormat="1"/>
    <row r="4109" s="2" customFormat="1"/>
    <row r="4110" s="2" customFormat="1"/>
    <row r="4111" s="2" customFormat="1"/>
    <row r="4112" s="2" customFormat="1"/>
    <row r="4113" s="2" customFormat="1"/>
    <row r="4114" s="2" customFormat="1"/>
    <row r="4115" s="2" customFormat="1"/>
    <row r="4116" s="2" customFormat="1"/>
    <row r="4117" s="2" customFormat="1"/>
    <row r="4118" s="2" customFormat="1"/>
    <row r="4119" s="2" customFormat="1"/>
    <row r="4120" s="2" customFormat="1"/>
    <row r="4121" s="2" customFormat="1"/>
    <row r="4122" s="2" customFormat="1"/>
    <row r="4123" s="2" customFormat="1"/>
    <row r="4124" s="2" customFormat="1"/>
    <row r="4125" s="2" customFormat="1"/>
    <row r="4126" s="2" customFormat="1"/>
    <row r="4127" s="2" customFormat="1"/>
    <row r="4128" s="2" customFormat="1"/>
    <row r="4129" s="2" customFormat="1"/>
    <row r="4130" s="2" customFormat="1"/>
    <row r="4131" s="2" customFormat="1"/>
    <row r="4132" s="2" customFormat="1"/>
    <row r="4133" s="2" customFormat="1"/>
    <row r="4134" s="2" customFormat="1"/>
    <row r="4135" s="2" customFormat="1"/>
    <row r="4136" s="2" customFormat="1"/>
    <row r="4137" s="2" customFormat="1"/>
    <row r="4138" s="2" customFormat="1"/>
    <row r="4139" s="2" customFormat="1"/>
    <row r="4140" s="2" customFormat="1"/>
    <row r="4141" s="2" customFormat="1"/>
    <row r="4142" s="2" customFormat="1"/>
    <row r="4143" s="2" customFormat="1"/>
    <row r="4144" s="2" customFormat="1"/>
    <row r="4145" s="2" customFormat="1"/>
    <row r="4146" s="2" customFormat="1"/>
    <row r="4147" s="2" customFormat="1"/>
    <row r="4148" s="2" customFormat="1"/>
    <row r="4149" s="2" customFormat="1"/>
    <row r="4150" s="2" customFormat="1"/>
    <row r="4151" s="2" customFormat="1"/>
    <row r="4152" s="2" customFormat="1"/>
    <row r="4153" s="2" customFormat="1"/>
    <row r="4154" s="2" customFormat="1"/>
    <row r="4155" s="2" customFormat="1"/>
    <row r="4156" s="2" customFormat="1"/>
    <row r="4157" s="2" customFormat="1"/>
    <row r="4158" s="2" customFormat="1"/>
    <row r="4159" s="2" customFormat="1"/>
    <row r="4160" s="2" customFormat="1"/>
    <row r="4161" s="2" customFormat="1"/>
    <row r="4162" s="2" customFormat="1"/>
    <row r="4163" s="2" customFormat="1"/>
    <row r="4164" s="2" customFormat="1"/>
    <row r="4165" s="2" customFormat="1"/>
    <row r="4166" s="2" customFormat="1"/>
    <row r="4167" s="2" customFormat="1"/>
    <row r="4168" s="2" customFormat="1"/>
    <row r="4169" s="2" customFormat="1"/>
    <row r="4170" s="2" customFormat="1"/>
    <row r="4171" s="2" customFormat="1"/>
    <row r="4172" s="2" customFormat="1"/>
    <row r="4173" s="2" customFormat="1"/>
    <row r="4174" s="2" customFormat="1"/>
    <row r="4175" s="2" customFormat="1"/>
    <row r="4176" s="2" customFormat="1"/>
    <row r="4177" s="2" customFormat="1"/>
    <row r="4178" s="2" customFormat="1"/>
    <row r="4179" s="2" customFormat="1"/>
    <row r="4180" s="2" customFormat="1"/>
    <row r="4181" s="2" customFormat="1"/>
    <row r="4182" s="2" customFormat="1"/>
    <row r="4183" s="2" customFormat="1"/>
    <row r="4184" s="2" customFormat="1"/>
    <row r="4185" s="2" customFormat="1"/>
    <row r="4186" s="2" customFormat="1"/>
    <row r="4187" s="2" customFormat="1"/>
    <row r="4188" s="2" customFormat="1"/>
    <row r="4189" s="2" customFormat="1"/>
    <row r="4190" s="2" customFormat="1"/>
    <row r="4191" s="2" customFormat="1"/>
    <row r="4192" s="2" customFormat="1"/>
    <row r="4193" s="2" customFormat="1"/>
    <row r="4194" s="2" customFormat="1"/>
    <row r="4195" s="2" customFormat="1"/>
    <row r="4196" s="2" customFormat="1"/>
    <row r="4197" s="2" customFormat="1"/>
    <row r="4198" s="2" customFormat="1"/>
    <row r="4199" s="2" customFormat="1"/>
    <row r="4200" s="2" customFormat="1"/>
    <row r="4201" s="2" customFormat="1"/>
    <row r="4202" s="2" customFormat="1"/>
    <row r="4203" s="2" customFormat="1"/>
    <row r="4204" s="2" customFormat="1"/>
    <row r="4205" s="2" customFormat="1"/>
    <row r="4206" s="2" customFormat="1"/>
    <row r="4207" s="2" customFormat="1"/>
    <row r="4208" s="2" customFormat="1"/>
    <row r="4209" s="2" customFormat="1"/>
    <row r="4210" s="2" customFormat="1"/>
    <row r="4211" s="2" customFormat="1"/>
    <row r="4212" s="2" customFormat="1"/>
    <row r="4213" s="2" customFormat="1"/>
    <row r="4214" s="2" customFormat="1"/>
    <row r="4215" s="2" customFormat="1"/>
    <row r="4216" s="2" customFormat="1"/>
    <row r="4217" s="2" customFormat="1"/>
    <row r="4218" s="2" customFormat="1"/>
    <row r="4219" s="2" customFormat="1"/>
    <row r="4220" s="2" customFormat="1"/>
    <row r="4221" s="2" customFormat="1"/>
    <row r="4222" s="2" customFormat="1"/>
    <row r="4223" s="2" customFormat="1"/>
    <row r="4224" s="2" customFormat="1"/>
    <row r="4225" s="2" customFormat="1"/>
    <row r="4226" s="2" customFormat="1"/>
    <row r="4227" s="2" customFormat="1"/>
    <row r="4228" s="2" customFormat="1"/>
    <row r="4229" s="2" customFormat="1"/>
    <row r="4230" s="2" customFormat="1"/>
    <row r="4231" s="2" customFormat="1"/>
    <row r="4232" s="2" customFormat="1"/>
    <row r="4233" s="2" customFormat="1"/>
    <row r="4234" s="2" customFormat="1"/>
    <row r="4235" s="2" customFormat="1"/>
    <row r="4236" s="2" customFormat="1"/>
    <row r="4237" s="2" customFormat="1"/>
    <row r="4238" s="2" customFormat="1"/>
    <row r="4239" s="2" customFormat="1"/>
    <row r="4240" s="2" customFormat="1"/>
    <row r="4241" s="2" customFormat="1"/>
    <row r="4242" s="2" customFormat="1"/>
    <row r="4243" s="2" customFormat="1"/>
    <row r="4244" s="2" customFormat="1"/>
    <row r="4245" s="2" customFormat="1"/>
    <row r="4246" s="2" customFormat="1"/>
    <row r="4247" s="2" customFormat="1"/>
    <row r="4248" s="2" customFormat="1"/>
    <row r="4249" s="2" customFormat="1"/>
    <row r="4250" s="2" customFormat="1"/>
    <row r="4251" s="2" customFormat="1"/>
    <row r="4252" s="2" customFormat="1"/>
    <row r="4253" s="2" customFormat="1"/>
    <row r="4254" s="2" customFormat="1"/>
    <row r="4255" s="2" customFormat="1"/>
    <row r="4256" s="2" customFormat="1"/>
    <row r="4257" s="2" customFormat="1"/>
    <row r="4258" s="2" customFormat="1"/>
    <row r="4259" s="2" customFormat="1"/>
    <row r="4260" s="2" customFormat="1"/>
    <row r="4261" s="2" customFormat="1"/>
    <row r="4262" s="2" customFormat="1"/>
    <row r="4263" s="2" customFormat="1"/>
    <row r="4264" s="2" customFormat="1"/>
    <row r="4265" s="2" customFormat="1"/>
    <row r="4266" s="2" customFormat="1"/>
    <row r="4267" s="2" customFormat="1"/>
    <row r="4268" s="2" customFormat="1"/>
    <row r="4269" s="2" customFormat="1"/>
    <row r="4270" s="2" customFormat="1"/>
    <row r="4271" s="2" customFormat="1"/>
    <row r="4272" s="2" customFormat="1"/>
    <row r="4273" s="2" customFormat="1"/>
    <row r="4274" s="2" customFormat="1"/>
    <row r="4275" s="2" customFormat="1"/>
    <row r="4276" s="2" customFormat="1"/>
    <row r="4277" s="2" customFormat="1"/>
    <row r="4278" s="2" customFormat="1"/>
    <row r="4279" s="2" customFormat="1"/>
    <row r="4280" s="2" customFormat="1"/>
    <row r="4281" s="2" customFormat="1"/>
    <row r="4282" s="2" customFormat="1"/>
    <row r="4283" s="2" customFormat="1"/>
    <row r="4284" s="2" customFormat="1"/>
    <row r="4285" s="2" customFormat="1"/>
    <row r="4286" s="2" customFormat="1"/>
    <row r="4287" s="2" customFormat="1"/>
    <row r="4288" s="2" customFormat="1"/>
    <row r="4289" s="2" customFormat="1"/>
    <row r="4290" s="2" customFormat="1"/>
    <row r="4291" s="2" customFormat="1"/>
    <row r="4292" s="2" customFormat="1"/>
    <row r="4293" s="2" customFormat="1"/>
    <row r="4294" s="2" customFormat="1"/>
    <row r="4295" s="2" customFormat="1"/>
    <row r="4296" s="2" customFormat="1"/>
    <row r="4297" s="2" customFormat="1"/>
    <row r="4298" s="2" customFormat="1"/>
    <row r="4299" s="2" customFormat="1"/>
    <row r="4300" s="2" customFormat="1"/>
    <row r="4301" s="2" customFormat="1"/>
    <row r="4302" s="2" customFormat="1"/>
    <row r="4303" s="2" customFormat="1"/>
    <row r="4304" s="2" customFormat="1"/>
    <row r="4305" s="2" customFormat="1"/>
    <row r="4306" s="2" customFormat="1"/>
    <row r="4307" s="2" customFormat="1"/>
    <row r="4308" s="2" customFormat="1"/>
    <row r="4309" s="2" customFormat="1"/>
    <row r="4310" s="2" customFormat="1"/>
    <row r="4311" s="2" customFormat="1"/>
    <row r="4312" s="2" customFormat="1"/>
    <row r="4313" s="2" customFormat="1"/>
    <row r="4314" s="2" customFormat="1"/>
    <row r="4315" s="2" customFormat="1"/>
    <row r="4316" s="2" customFormat="1"/>
    <row r="4317" s="2" customFormat="1"/>
    <row r="4318" s="2" customFormat="1"/>
    <row r="4319" s="2" customFormat="1"/>
    <row r="4320" s="2" customFormat="1"/>
    <row r="4321" s="2" customFormat="1"/>
    <row r="4322" s="2" customFormat="1"/>
    <row r="4323" s="2" customFormat="1"/>
    <row r="4324" s="2" customFormat="1"/>
    <row r="4325" s="2" customFormat="1"/>
    <row r="4326" s="2" customFormat="1"/>
    <row r="4327" s="2" customFormat="1"/>
    <row r="4328" s="2" customFormat="1"/>
    <row r="4329" s="2" customFormat="1"/>
    <row r="4330" s="2" customFormat="1"/>
    <row r="4331" s="2" customFormat="1"/>
    <row r="4332" s="2" customFormat="1"/>
    <row r="4333" s="2" customFormat="1"/>
    <row r="4334" s="2" customFormat="1"/>
    <row r="4335" s="2" customFormat="1"/>
    <row r="4336" s="2" customFormat="1"/>
    <row r="4337" s="2" customFormat="1"/>
    <row r="4338" s="2" customFormat="1"/>
    <row r="4339" s="2" customFormat="1"/>
    <row r="4340" s="2" customFormat="1"/>
    <row r="4341" s="2" customFormat="1"/>
    <row r="4342" s="2" customFormat="1"/>
    <row r="4343" s="2" customFormat="1"/>
    <row r="4344" s="2" customFormat="1"/>
    <row r="4345" s="2" customFormat="1"/>
    <row r="4346" s="2" customFormat="1"/>
    <row r="4347" s="2" customFormat="1"/>
    <row r="4348" s="2" customFormat="1"/>
    <row r="4349" s="2" customFormat="1"/>
    <row r="4350" s="2" customFormat="1"/>
    <row r="4351" s="2" customFormat="1"/>
    <row r="4352" s="2" customFormat="1"/>
    <row r="4353" s="2" customFormat="1"/>
    <row r="4354" s="2" customFormat="1"/>
    <row r="4355" s="2" customFormat="1"/>
    <row r="4356" s="2" customFormat="1"/>
    <row r="4357" s="2" customFormat="1"/>
    <row r="4358" s="2" customFormat="1"/>
    <row r="4359" s="2" customFormat="1"/>
    <row r="4360" s="2" customFormat="1"/>
    <row r="4361" s="2" customFormat="1"/>
    <row r="4362" s="2" customFormat="1"/>
    <row r="4363" s="2" customFormat="1"/>
    <row r="4364" s="2" customFormat="1"/>
    <row r="4365" s="2" customFormat="1"/>
    <row r="4366" s="2" customFormat="1"/>
    <row r="4367" s="2" customFormat="1"/>
    <row r="4368" s="2" customFormat="1"/>
    <row r="4369" s="2" customFormat="1"/>
    <row r="4370" s="2" customFormat="1"/>
    <row r="4371" s="2" customFormat="1"/>
    <row r="4372" s="2" customFormat="1"/>
    <row r="4373" s="2" customFormat="1"/>
    <row r="4374" s="2" customFormat="1"/>
    <row r="4375" s="2" customFormat="1"/>
    <row r="4376" s="2" customFormat="1"/>
    <row r="4377" s="2" customFormat="1"/>
    <row r="4378" s="2" customFormat="1"/>
    <row r="4379" s="2" customFormat="1"/>
    <row r="4380" s="2" customFormat="1"/>
    <row r="4381" s="2" customFormat="1"/>
    <row r="4382" s="2" customFormat="1"/>
    <row r="4383" s="2" customFormat="1"/>
    <row r="4384" s="2" customFormat="1"/>
    <row r="4385" s="2" customFormat="1"/>
    <row r="4386" s="2" customFormat="1"/>
    <row r="4387" s="2" customFormat="1"/>
    <row r="4388" s="2" customFormat="1"/>
    <row r="4389" s="2" customFormat="1"/>
    <row r="4390" s="2" customFormat="1"/>
    <row r="4391" s="2" customFormat="1"/>
    <row r="4392" s="2" customFormat="1"/>
    <row r="4393" s="2" customFormat="1"/>
    <row r="4394" s="2" customFormat="1"/>
    <row r="4395" s="2" customFormat="1"/>
    <row r="4396" s="2" customFormat="1"/>
    <row r="4397" s="2" customFormat="1"/>
    <row r="4398" s="2" customFormat="1"/>
    <row r="4399" s="2" customFormat="1"/>
    <row r="4400" s="2" customFormat="1"/>
    <row r="4401" s="2" customFormat="1"/>
    <row r="4402" s="2" customFormat="1"/>
    <row r="4403" s="2" customFormat="1"/>
    <row r="4404" s="2" customFormat="1"/>
    <row r="4405" s="2" customFormat="1"/>
    <row r="4406" s="2" customFormat="1"/>
    <row r="4407" s="2" customFormat="1"/>
    <row r="4408" s="2" customFormat="1"/>
    <row r="4409" s="2" customFormat="1"/>
    <row r="4410" s="2" customFormat="1"/>
    <row r="4411" s="2" customFormat="1"/>
    <row r="4412" s="2" customFormat="1"/>
    <row r="4413" s="2" customFormat="1"/>
    <row r="4414" s="2" customFormat="1"/>
    <row r="4415" s="2" customFormat="1"/>
    <row r="4416" s="2" customFormat="1"/>
    <row r="4417" s="2" customFormat="1"/>
    <row r="4418" s="2" customFormat="1"/>
    <row r="4419" s="2" customFormat="1"/>
    <row r="4420" s="2" customFormat="1"/>
    <row r="4421" s="2" customFormat="1"/>
    <row r="4422" s="2" customFormat="1"/>
    <row r="4423" s="2" customFormat="1"/>
    <row r="4424" s="2" customFormat="1"/>
    <row r="4425" s="2" customFormat="1"/>
    <row r="4426" s="2" customFormat="1"/>
    <row r="4427" s="2" customFormat="1"/>
    <row r="4428" s="2" customFormat="1"/>
    <row r="4429" s="2" customFormat="1"/>
    <row r="4430" s="2" customFormat="1"/>
    <row r="4431" s="2" customFormat="1"/>
    <row r="4432" s="2" customFormat="1"/>
    <row r="4433" s="2" customFormat="1"/>
    <row r="4434" s="2" customFormat="1"/>
    <row r="4435" s="2" customFormat="1"/>
    <row r="4436" s="2" customFormat="1"/>
    <row r="4437" s="2" customFormat="1"/>
    <row r="4438" s="2" customFormat="1"/>
    <row r="4439" s="2" customFormat="1"/>
    <row r="4440" s="2" customFormat="1"/>
    <row r="4441" s="2" customFormat="1"/>
    <row r="4442" s="2" customFormat="1"/>
    <row r="4443" s="2" customFormat="1"/>
    <row r="4444" s="2" customFormat="1"/>
    <row r="4445" s="2" customFormat="1"/>
    <row r="4446" s="2" customFormat="1"/>
    <row r="4447" s="2" customFormat="1"/>
    <row r="4448" s="2" customFormat="1"/>
    <row r="4449" s="2" customFormat="1"/>
    <row r="4450" s="2" customFormat="1"/>
    <row r="4451" s="2" customFormat="1"/>
    <row r="4452" s="2" customFormat="1"/>
    <row r="4453" s="2" customFormat="1"/>
    <row r="4454" s="2" customFormat="1"/>
    <row r="4455" s="2" customFormat="1"/>
    <row r="4456" s="2" customFormat="1"/>
    <row r="4457" s="2" customFormat="1"/>
    <row r="4458" s="2" customFormat="1"/>
    <row r="4459" s="2" customFormat="1"/>
    <row r="4460" s="2" customFormat="1"/>
    <row r="4461" s="2" customFormat="1"/>
    <row r="4462" s="2" customFormat="1"/>
    <row r="4463" s="2" customFormat="1"/>
    <row r="4464" s="2" customFormat="1"/>
    <row r="4465" s="2" customFormat="1"/>
    <row r="4466" s="2" customFormat="1"/>
    <row r="4467" s="2" customFormat="1"/>
    <row r="4468" s="2" customFormat="1"/>
    <row r="4469" s="2" customFormat="1"/>
    <row r="4470" s="2" customFormat="1"/>
    <row r="4471" s="2" customFormat="1"/>
    <row r="4472" s="2" customFormat="1"/>
    <row r="4473" s="2" customFormat="1"/>
    <row r="4474" s="2" customFormat="1"/>
    <row r="4475" s="2" customFormat="1"/>
    <row r="4476" s="2" customFormat="1"/>
    <row r="4477" s="2" customFormat="1"/>
    <row r="4478" s="2" customFormat="1"/>
    <row r="4479" s="2" customFormat="1"/>
    <row r="4480" s="2" customFormat="1"/>
    <row r="4481" s="2" customFormat="1"/>
    <row r="4482" s="2" customFormat="1"/>
    <row r="4483" s="2" customFormat="1"/>
    <row r="4484" s="2" customFormat="1"/>
    <row r="4485" s="2" customFormat="1"/>
    <row r="4486" s="2" customFormat="1"/>
    <row r="4487" s="2" customFormat="1"/>
    <row r="4488" s="2" customFormat="1"/>
    <row r="4489" s="2" customFormat="1"/>
    <row r="4490" s="2" customFormat="1"/>
    <row r="4491" s="2" customFormat="1"/>
    <row r="4492" s="2" customFormat="1"/>
    <row r="4493" s="2" customFormat="1"/>
    <row r="4494" s="2" customFormat="1"/>
    <row r="4495" s="2" customFormat="1"/>
    <row r="4496" s="2" customFormat="1"/>
    <row r="4497" s="2" customFormat="1"/>
    <row r="4498" s="2" customFormat="1"/>
    <row r="4499" s="2" customFormat="1"/>
    <row r="4500" s="2" customFormat="1"/>
    <row r="4501" s="2" customFormat="1"/>
    <row r="4502" s="2" customFormat="1"/>
    <row r="4503" s="2" customFormat="1"/>
    <row r="4504" s="2" customFormat="1"/>
    <row r="4505" s="2" customFormat="1"/>
    <row r="4506" s="2" customFormat="1"/>
    <row r="4507" s="2" customFormat="1"/>
    <row r="4508" s="2" customFormat="1"/>
    <row r="4509" s="2" customFormat="1"/>
    <row r="4510" s="2" customFormat="1"/>
    <row r="4511" s="2" customFormat="1"/>
    <row r="4512" s="2" customFormat="1"/>
    <row r="4513" s="2" customFormat="1"/>
    <row r="4514" s="2" customFormat="1"/>
    <row r="4515" s="2" customFormat="1"/>
    <row r="4516" s="2" customFormat="1"/>
    <row r="4517" s="2" customFormat="1"/>
    <row r="4518" s="2" customFormat="1"/>
    <row r="4519" s="2" customFormat="1"/>
    <row r="4520" s="2" customFormat="1"/>
    <row r="4521" s="2" customFormat="1"/>
    <row r="4522" s="2" customFormat="1"/>
    <row r="4523" s="2" customFormat="1"/>
    <row r="4524" s="2" customFormat="1"/>
    <row r="4525" s="2" customFormat="1"/>
    <row r="4526" s="2" customFormat="1"/>
    <row r="4527" s="2" customFormat="1"/>
    <row r="4528" s="2" customFormat="1"/>
    <row r="4529" s="2" customFormat="1"/>
    <row r="4530" s="2" customFormat="1"/>
    <row r="4531" s="2" customFormat="1"/>
    <row r="4532" s="2" customFormat="1"/>
    <row r="4533" s="2" customFormat="1"/>
    <row r="4534" s="2" customFormat="1"/>
    <row r="4535" s="2" customFormat="1"/>
    <row r="4536" s="2" customFormat="1"/>
    <row r="4537" s="2" customFormat="1"/>
    <row r="4538" s="2" customFormat="1"/>
    <row r="4539" s="2" customFormat="1"/>
    <row r="4540" s="2" customFormat="1"/>
    <row r="4541" s="2" customFormat="1"/>
    <row r="4542" s="2" customFormat="1"/>
    <row r="4543" s="2" customFormat="1"/>
    <row r="4544" s="2" customFormat="1"/>
    <row r="4545" s="2" customFormat="1"/>
    <row r="4546" s="2" customFormat="1"/>
    <row r="4547" s="2" customFormat="1"/>
    <row r="4548" s="2" customFormat="1"/>
    <row r="4549" s="2" customFormat="1"/>
    <row r="4550" s="2" customFormat="1"/>
    <row r="4551" s="2" customFormat="1"/>
    <row r="4552" s="2" customFormat="1"/>
    <row r="4553" s="2" customFormat="1"/>
    <row r="4554" s="2" customFormat="1"/>
    <row r="4555" s="2" customFormat="1"/>
    <row r="4556" s="2" customFormat="1"/>
    <row r="4557" s="2" customFormat="1"/>
    <row r="4558" s="2" customFormat="1"/>
    <row r="4559" s="2" customFormat="1"/>
    <row r="4560" s="2" customFormat="1"/>
    <row r="4561" s="2" customFormat="1"/>
    <row r="4562" s="2" customFormat="1"/>
    <row r="4563" s="2" customFormat="1"/>
    <row r="4564" s="2" customFormat="1"/>
    <row r="4565" s="2" customFormat="1"/>
    <row r="4566" s="2" customFormat="1"/>
    <row r="4567" s="2" customFormat="1"/>
    <row r="4568" s="2" customFormat="1"/>
    <row r="4569" s="2" customFormat="1"/>
    <row r="4570" s="2" customFormat="1"/>
    <row r="4571" s="2" customFormat="1"/>
    <row r="4572" s="2" customFormat="1"/>
    <row r="4573" s="2" customFormat="1"/>
    <row r="4574" s="2" customFormat="1"/>
    <row r="4575" s="2" customFormat="1"/>
    <row r="4576" s="2" customFormat="1"/>
    <row r="4577" s="2" customFormat="1"/>
    <row r="4578" s="2" customFormat="1"/>
    <row r="4579" s="2" customFormat="1"/>
    <row r="4580" s="2" customFormat="1"/>
    <row r="4581" s="2" customFormat="1"/>
    <row r="4582" s="2" customFormat="1"/>
    <row r="4583" s="2" customFormat="1"/>
    <row r="4584" s="2" customFormat="1"/>
    <row r="4585" s="2" customFormat="1"/>
    <row r="4586" s="2" customFormat="1"/>
    <row r="4587" s="2" customFormat="1"/>
    <row r="4588" s="2" customFormat="1"/>
    <row r="4589" s="2" customFormat="1"/>
    <row r="4590" s="2" customFormat="1"/>
    <row r="4591" s="2" customFormat="1"/>
    <row r="4592" s="2" customFormat="1"/>
    <row r="4593" s="2" customFormat="1"/>
    <row r="4594" s="2" customFormat="1"/>
    <row r="4595" s="2" customFormat="1"/>
    <row r="4596" s="2" customFormat="1"/>
    <row r="4597" s="2" customFormat="1"/>
    <row r="4598" s="2" customFormat="1"/>
    <row r="4599" s="2" customFormat="1"/>
    <row r="4600" s="2" customFormat="1"/>
    <row r="4601" s="2" customFormat="1"/>
    <row r="4602" s="2" customFormat="1"/>
    <row r="4603" s="2" customFormat="1"/>
    <row r="4604" s="2" customFormat="1"/>
    <row r="4605" s="2" customFormat="1"/>
    <row r="4606" s="2" customFormat="1"/>
    <row r="4607" s="2" customFormat="1"/>
    <row r="4608" s="2" customFormat="1"/>
    <row r="4609" s="2" customFormat="1"/>
    <row r="4610" s="2" customFormat="1"/>
    <row r="4611" s="2" customFormat="1"/>
    <row r="4612" s="2" customFormat="1"/>
    <row r="4613" s="2" customFormat="1"/>
    <row r="4614" s="2" customFormat="1"/>
    <row r="4615" s="2" customFormat="1"/>
    <row r="4616" s="2" customFormat="1"/>
    <row r="4617" s="2" customFormat="1"/>
    <row r="4618" s="2" customFormat="1"/>
    <row r="4619" s="2" customFormat="1"/>
    <row r="4620" s="2" customFormat="1"/>
    <row r="4621" s="2" customFormat="1"/>
    <row r="4622" s="2" customFormat="1"/>
    <row r="4623" s="2" customFormat="1"/>
    <row r="4624" s="2" customFormat="1"/>
    <row r="4625" s="2" customFormat="1"/>
    <row r="4626" s="2" customFormat="1"/>
    <row r="4627" s="2" customFormat="1"/>
    <row r="4628" s="2" customFormat="1"/>
    <row r="4629" s="2" customFormat="1"/>
    <row r="4630" s="2" customFormat="1"/>
    <row r="4631" s="2" customFormat="1"/>
    <row r="4632" s="2" customFormat="1"/>
    <row r="4633" s="2" customFormat="1"/>
    <row r="4634" s="2" customFormat="1"/>
    <row r="4635" s="2" customFormat="1"/>
    <row r="4636" s="2" customFormat="1"/>
    <row r="4637" s="2" customFormat="1"/>
    <row r="4638" s="2" customFormat="1"/>
    <row r="4639" s="2" customFormat="1"/>
    <row r="4640" s="2" customFormat="1"/>
    <row r="4641" s="2" customFormat="1"/>
    <row r="4642" s="2" customFormat="1"/>
    <row r="4643" s="2" customFormat="1"/>
    <row r="4644" s="2" customFormat="1"/>
    <row r="4645" s="2" customFormat="1"/>
    <row r="4646" s="2" customFormat="1"/>
    <row r="4647" s="2" customFormat="1"/>
    <row r="4648" s="2" customFormat="1"/>
    <row r="4649" s="2" customFormat="1"/>
    <row r="4650" s="2" customFormat="1"/>
    <row r="4651" s="2" customFormat="1"/>
    <row r="4652" s="2" customFormat="1"/>
    <row r="4653" s="2" customFormat="1"/>
    <row r="4654" s="2" customFormat="1"/>
    <row r="4655" s="2" customFormat="1"/>
    <row r="4656" s="2" customFormat="1"/>
    <row r="4657" s="2" customFormat="1"/>
    <row r="4658" s="2" customFormat="1"/>
    <row r="4659" s="2" customFormat="1"/>
    <row r="4660" s="2" customFormat="1"/>
    <row r="4661" s="2" customFormat="1"/>
    <row r="4662" s="2" customFormat="1"/>
    <row r="4663" s="2" customFormat="1"/>
    <row r="4664" s="2" customFormat="1"/>
    <row r="4665" s="2" customFormat="1"/>
    <row r="4666" s="2" customFormat="1"/>
    <row r="4667" s="2" customFormat="1"/>
    <row r="4668" s="2" customFormat="1"/>
    <row r="4669" s="2" customFormat="1"/>
    <row r="4670" s="2" customFormat="1"/>
    <row r="4671" s="2" customFormat="1"/>
    <row r="4672" s="2" customFormat="1"/>
    <row r="4673" s="2" customFormat="1"/>
    <row r="4674" s="2" customFormat="1"/>
    <row r="4675" s="2" customFormat="1"/>
    <row r="4676" s="2" customFormat="1"/>
    <row r="4677" s="2" customFormat="1"/>
    <row r="4678" s="2" customFormat="1"/>
    <row r="4679" s="2" customFormat="1"/>
    <row r="4680" s="2" customFormat="1"/>
    <row r="4681" s="2" customFormat="1"/>
    <row r="4682" s="2" customFormat="1"/>
    <row r="4683" s="2" customFormat="1"/>
    <row r="4684" s="2" customFormat="1"/>
    <row r="4685" s="2" customFormat="1"/>
    <row r="4686" s="2" customFormat="1"/>
    <row r="4687" s="2" customFormat="1"/>
    <row r="4688" s="2" customFormat="1"/>
    <row r="4689" s="2" customFormat="1"/>
    <row r="4690" s="2" customFormat="1"/>
    <row r="4691" s="2" customFormat="1"/>
    <row r="4692" s="2" customFormat="1"/>
    <row r="4693" s="2" customFormat="1"/>
    <row r="4694" s="2" customFormat="1"/>
    <row r="4695" s="2" customFormat="1"/>
    <row r="4696" s="2" customFormat="1"/>
    <row r="4697" s="2" customFormat="1"/>
    <row r="4698" s="2" customFormat="1"/>
    <row r="4699" s="2" customFormat="1"/>
    <row r="4700" s="2" customFormat="1"/>
    <row r="4701" s="2" customFormat="1"/>
    <row r="4702" s="2" customFormat="1"/>
    <row r="4703" s="2" customFormat="1"/>
    <row r="4704" s="2" customFormat="1"/>
    <row r="4705" s="2" customFormat="1"/>
    <row r="4706" s="2" customFormat="1"/>
    <row r="4707" s="2" customFormat="1"/>
    <row r="4708" s="2" customFormat="1"/>
    <row r="4709" s="2" customFormat="1"/>
    <row r="4710" s="2" customFormat="1"/>
    <row r="4711" s="2" customFormat="1"/>
    <row r="4712" s="2" customFormat="1"/>
    <row r="4713" s="2" customFormat="1"/>
    <row r="4714" s="2" customFormat="1"/>
    <row r="4715" s="2" customFormat="1"/>
    <row r="4716" s="2" customFormat="1"/>
    <row r="4717" s="2" customFormat="1"/>
    <row r="4718" s="2" customFormat="1"/>
    <row r="4719" s="2" customFormat="1"/>
    <row r="4720" s="2" customFormat="1"/>
    <row r="4721" s="2" customFormat="1"/>
    <row r="4722" s="2" customFormat="1"/>
    <row r="4723" s="2" customFormat="1"/>
    <row r="4724" s="2" customFormat="1"/>
    <row r="4725" s="2" customFormat="1"/>
    <row r="4726" s="2" customFormat="1"/>
    <row r="4727" s="2" customFormat="1"/>
    <row r="4728" s="2" customFormat="1"/>
    <row r="4729" s="2" customFormat="1"/>
    <row r="4730" s="2" customFormat="1"/>
    <row r="4731" s="2" customFormat="1"/>
    <row r="4732" s="2" customFormat="1"/>
    <row r="4733" s="2" customFormat="1"/>
    <row r="4734" s="2" customFormat="1"/>
    <row r="4735" s="2" customFormat="1"/>
    <row r="4736" s="2" customFormat="1"/>
    <row r="4737" s="2" customFormat="1"/>
    <row r="4738" s="2" customFormat="1"/>
    <row r="4739" s="2" customFormat="1"/>
    <row r="4740" s="2" customFormat="1"/>
    <row r="4741" s="2" customFormat="1"/>
    <row r="4742" s="2" customFormat="1"/>
    <row r="4743" s="2" customFormat="1"/>
    <row r="4744" s="2" customFormat="1"/>
    <row r="4745" s="2" customFormat="1"/>
    <row r="4746" s="2" customFormat="1"/>
    <row r="4747" s="2" customFormat="1"/>
    <row r="4748" s="2" customFormat="1"/>
    <row r="4749" s="2" customFormat="1"/>
    <row r="4750" s="2" customFormat="1"/>
    <row r="4751" s="2" customFormat="1"/>
    <row r="4752" s="2" customFormat="1"/>
    <row r="4753" s="2" customFormat="1"/>
    <row r="4754" s="2" customFormat="1"/>
    <row r="4755" s="2" customFormat="1"/>
    <row r="4756" s="2" customFormat="1"/>
    <row r="4757" s="2" customFormat="1"/>
    <row r="4758" s="2" customFormat="1"/>
    <row r="4759" s="2" customFormat="1"/>
    <row r="4760" s="2" customFormat="1"/>
    <row r="4761" s="2" customFormat="1"/>
    <row r="4762" s="2" customFormat="1"/>
    <row r="4763" s="2" customFormat="1"/>
    <row r="4764" s="2" customFormat="1"/>
    <row r="4765" s="2" customFormat="1"/>
    <row r="4766" s="2" customFormat="1"/>
    <row r="4767" s="2" customFormat="1"/>
    <row r="4768" s="2" customFormat="1"/>
    <row r="4769" s="2" customFormat="1"/>
    <row r="4770" s="2" customFormat="1"/>
    <row r="4771" s="2" customFormat="1"/>
    <row r="4772" s="2" customFormat="1"/>
    <row r="4773" s="2" customFormat="1"/>
    <row r="4774" s="2" customFormat="1"/>
    <row r="4775" s="2" customFormat="1"/>
    <row r="4776" s="2" customFormat="1"/>
    <row r="4777" s="2" customFormat="1"/>
    <row r="4778" s="2" customFormat="1"/>
    <row r="4779" s="2" customFormat="1"/>
    <row r="4780" s="2" customFormat="1"/>
    <row r="4781" s="2" customFormat="1"/>
    <row r="4782" s="2" customFormat="1"/>
    <row r="4783" s="2" customFormat="1"/>
    <row r="4784" s="2" customFormat="1"/>
    <row r="4785" s="2" customFormat="1"/>
    <row r="4786" s="2" customFormat="1"/>
    <row r="4787" s="2" customFormat="1"/>
    <row r="4788" s="2" customFormat="1"/>
    <row r="4789" s="2" customFormat="1"/>
    <row r="4790" s="2" customFormat="1"/>
    <row r="4791" s="2" customFormat="1"/>
    <row r="4792" s="2" customFormat="1"/>
    <row r="4793" s="2" customFormat="1"/>
    <row r="4794" s="2" customFormat="1"/>
    <row r="4795" s="2" customFormat="1"/>
    <row r="4796" s="2" customFormat="1"/>
    <row r="4797" s="2" customFormat="1"/>
    <row r="4798" s="2" customFormat="1"/>
    <row r="4799" s="2" customFormat="1"/>
    <row r="4800" s="2" customFormat="1"/>
    <row r="4801" s="2" customFormat="1"/>
    <row r="4802" s="2" customFormat="1"/>
    <row r="4803" s="2" customFormat="1"/>
    <row r="4804" s="2" customFormat="1"/>
    <row r="4805" s="2" customFormat="1"/>
    <row r="4806" s="2" customFormat="1"/>
    <row r="4807" s="2" customFormat="1"/>
    <row r="4808" s="2" customFormat="1"/>
    <row r="4809" s="2" customFormat="1"/>
    <row r="4810" s="2" customFormat="1"/>
    <row r="4811" s="2" customFormat="1"/>
    <row r="4812" s="2" customFormat="1"/>
    <row r="4813" s="2" customFormat="1"/>
    <row r="4814" s="2" customFormat="1"/>
    <row r="4815" s="2" customFormat="1"/>
    <row r="4816" s="2" customFormat="1"/>
    <row r="4817" s="2" customFormat="1"/>
    <row r="4818" s="2" customFormat="1"/>
    <row r="4819" s="2" customFormat="1"/>
    <row r="4820" s="2" customFormat="1"/>
    <row r="4821" s="2" customFormat="1"/>
    <row r="4822" s="2" customFormat="1"/>
    <row r="4823" s="2" customFormat="1"/>
    <row r="4824" s="2" customFormat="1"/>
    <row r="4825" s="2" customFormat="1"/>
    <row r="4826" s="2" customFormat="1"/>
    <row r="4827" s="2" customFormat="1"/>
    <row r="4828" s="2" customFormat="1"/>
    <row r="4829" s="2" customFormat="1"/>
    <row r="4830" s="2" customFormat="1"/>
    <row r="4831" s="2" customFormat="1"/>
    <row r="4832" s="2" customFormat="1"/>
    <row r="4833" s="2" customFormat="1"/>
    <row r="4834" s="2" customFormat="1"/>
    <row r="4835" s="2" customFormat="1"/>
    <row r="4836" s="2" customFormat="1"/>
    <row r="4837" s="2" customFormat="1"/>
    <row r="4838" s="2" customFormat="1"/>
    <row r="4839" s="2" customFormat="1"/>
    <row r="4840" s="2" customFormat="1"/>
    <row r="4841" s="2" customFormat="1"/>
    <row r="4842" s="2" customFormat="1"/>
    <row r="4843" s="2" customFormat="1"/>
    <row r="4844" s="2" customFormat="1"/>
    <row r="4845" s="2" customFormat="1"/>
    <row r="4846" s="2" customFormat="1"/>
    <row r="4847" s="2" customFormat="1"/>
    <row r="4848" s="2" customFormat="1"/>
    <row r="4849" s="2" customFormat="1"/>
    <row r="4850" s="2" customFormat="1"/>
    <row r="4851" s="2" customFormat="1"/>
    <row r="4852" s="2" customFormat="1"/>
    <row r="4853" s="2" customFormat="1"/>
    <row r="4854" s="2" customFormat="1"/>
    <row r="4855" s="2" customFormat="1"/>
    <row r="4856" s="2" customFormat="1"/>
    <row r="4857" s="2" customFormat="1"/>
    <row r="4858" s="2" customFormat="1"/>
    <row r="4859" s="2" customFormat="1"/>
    <row r="4860" s="2" customFormat="1"/>
    <row r="4861" s="2" customFormat="1"/>
    <row r="4862" s="2" customFormat="1"/>
    <row r="4863" s="2" customFormat="1"/>
    <row r="4864" s="2" customFormat="1"/>
    <row r="4865" s="2" customFormat="1"/>
    <row r="4866" s="2" customFormat="1"/>
    <row r="4867" s="2" customFormat="1"/>
    <row r="4868" s="2" customFormat="1"/>
    <row r="4869" s="2" customFormat="1"/>
    <row r="4870" s="2" customFormat="1"/>
    <row r="4871" s="2" customFormat="1"/>
    <row r="4872" s="2" customFormat="1"/>
    <row r="4873" s="2" customFormat="1"/>
    <row r="4874" s="2" customFormat="1"/>
    <row r="4875" s="2" customFormat="1"/>
    <row r="4876" s="2" customFormat="1"/>
    <row r="4877" s="2" customFormat="1"/>
    <row r="4878" s="2" customFormat="1"/>
    <row r="4879" s="2" customFormat="1"/>
    <row r="4880" s="2" customFormat="1"/>
    <row r="4881" s="2" customFormat="1"/>
    <row r="4882" s="2" customFormat="1"/>
    <row r="4883" s="2" customFormat="1"/>
    <row r="4884" s="2" customFormat="1"/>
    <row r="4885" s="2" customFormat="1"/>
    <row r="4886" s="2" customFormat="1"/>
    <row r="4887" s="2" customFormat="1"/>
    <row r="4888" s="2" customFormat="1"/>
    <row r="4889" s="2" customFormat="1"/>
    <row r="4890" s="2" customFormat="1"/>
    <row r="4891" s="2" customFormat="1"/>
    <row r="4892" s="2" customFormat="1"/>
    <row r="4893" s="2" customFormat="1"/>
    <row r="4894" s="2" customFormat="1"/>
    <row r="4895" s="2" customFormat="1"/>
    <row r="4896" s="2" customFormat="1"/>
    <row r="4897" s="2" customFormat="1"/>
    <row r="4898" s="2" customFormat="1"/>
    <row r="4899" s="2" customFormat="1"/>
    <row r="4900" s="2" customFormat="1"/>
    <row r="4901" s="2" customFormat="1"/>
    <row r="4902" s="2" customFormat="1"/>
    <row r="4903" s="2" customFormat="1"/>
    <row r="4904" s="2" customFormat="1"/>
    <row r="4905" s="2" customFormat="1"/>
    <row r="4906" s="2" customFormat="1"/>
    <row r="4907" s="2" customFormat="1"/>
    <row r="4908" s="2" customFormat="1"/>
    <row r="4909" s="2" customFormat="1"/>
    <row r="4910" s="2" customFormat="1"/>
    <row r="4911" s="2" customFormat="1"/>
    <row r="4912" s="2" customFormat="1"/>
    <row r="4913" s="2" customFormat="1"/>
    <row r="4914" s="2" customFormat="1"/>
    <row r="4915" s="2" customFormat="1"/>
    <row r="4916" s="2" customFormat="1"/>
    <row r="4917" s="2" customFormat="1"/>
    <row r="4918" s="2" customFormat="1"/>
    <row r="4919" s="2" customFormat="1"/>
    <row r="4920" s="2" customFormat="1"/>
    <row r="4921" s="2" customFormat="1"/>
    <row r="4922" s="2" customFormat="1"/>
    <row r="4923" s="2" customFormat="1"/>
    <row r="4924" s="2" customFormat="1"/>
    <row r="4925" s="2" customFormat="1"/>
    <row r="4926" s="2" customFormat="1"/>
    <row r="4927" s="2" customFormat="1"/>
    <row r="4928" s="2" customFormat="1"/>
    <row r="4929" s="2" customFormat="1"/>
    <row r="4930" s="2" customFormat="1"/>
    <row r="4931" s="2" customFormat="1"/>
    <row r="4932" s="2" customFormat="1"/>
    <row r="4933" s="2" customFormat="1"/>
    <row r="4934" s="2" customFormat="1"/>
    <row r="4935" s="2" customFormat="1"/>
    <row r="4936" s="2" customFormat="1"/>
    <row r="4937" s="2" customFormat="1"/>
    <row r="4938" s="2" customFormat="1"/>
    <row r="4939" s="2" customFormat="1"/>
    <row r="4940" s="2" customFormat="1"/>
    <row r="4941" s="2" customFormat="1"/>
    <row r="4942" s="2" customFormat="1"/>
    <row r="4943" s="2" customFormat="1"/>
    <row r="4944" s="2" customFormat="1"/>
    <row r="4945" s="2" customFormat="1"/>
    <row r="4946" s="2" customFormat="1"/>
    <row r="4947" s="2" customFormat="1"/>
    <row r="4948" s="2" customFormat="1"/>
    <row r="4949" s="2" customFormat="1"/>
    <row r="4950" s="2" customFormat="1"/>
    <row r="4951" s="2" customFormat="1"/>
    <row r="4952" s="2" customFormat="1"/>
    <row r="4953" s="2" customFormat="1"/>
    <row r="4954" s="2" customFormat="1"/>
    <row r="4955" s="2" customFormat="1"/>
    <row r="4956" s="2" customFormat="1"/>
    <row r="4957" s="2" customFormat="1"/>
    <row r="4958" s="2" customFormat="1"/>
    <row r="4959" s="2" customFormat="1"/>
    <row r="4960" s="2" customFormat="1"/>
    <row r="4961" s="2" customFormat="1"/>
    <row r="4962" s="2" customFormat="1"/>
    <row r="4963" s="2" customFormat="1"/>
    <row r="4964" s="2" customFormat="1"/>
    <row r="4965" s="2" customFormat="1"/>
    <row r="4966" s="2" customFormat="1"/>
    <row r="4967" s="2" customFormat="1"/>
    <row r="4968" s="2" customFormat="1"/>
    <row r="4969" s="2" customFormat="1"/>
    <row r="4970" s="2" customFormat="1"/>
    <row r="4971" s="2" customFormat="1"/>
    <row r="4972" s="2" customFormat="1"/>
    <row r="4973" s="2" customFormat="1"/>
    <row r="4974" s="2" customFormat="1"/>
    <row r="4975" s="2" customFormat="1"/>
    <row r="4976" s="2" customFormat="1"/>
    <row r="4977" s="2" customFormat="1"/>
    <row r="4978" s="2" customFormat="1"/>
    <row r="4979" s="2" customFormat="1"/>
    <row r="4980" s="2" customFormat="1"/>
    <row r="4981" s="2" customFormat="1"/>
    <row r="4982" s="2" customFormat="1"/>
    <row r="4983" s="2" customFormat="1"/>
    <row r="4984" s="2" customFormat="1"/>
    <row r="4985" s="2" customFormat="1"/>
    <row r="4986" s="2" customFormat="1"/>
    <row r="4987" s="2" customFormat="1"/>
    <row r="4988" s="2" customFormat="1"/>
    <row r="4989" s="2" customFormat="1"/>
    <row r="4990" s="2" customFormat="1"/>
    <row r="4991" s="2" customFormat="1"/>
    <row r="4992" s="2" customFormat="1"/>
    <row r="4993" s="2" customFormat="1"/>
    <row r="4994" s="2" customFormat="1"/>
    <row r="4995" s="2" customFormat="1"/>
    <row r="4996" s="2" customFormat="1"/>
    <row r="4997" s="2" customFormat="1"/>
    <row r="4998" s="2" customFormat="1"/>
    <row r="4999" s="2" customFormat="1"/>
    <row r="5000" s="2" customFormat="1"/>
    <row r="5001" s="2" customFormat="1"/>
    <row r="5002" s="2" customFormat="1"/>
    <row r="5003" s="2" customFormat="1"/>
    <row r="5004" s="2" customFormat="1"/>
    <row r="5005" s="2" customFormat="1"/>
    <row r="5006" s="2" customFormat="1"/>
    <row r="5007" s="2" customFormat="1"/>
    <row r="5008" s="2" customFormat="1"/>
    <row r="5009" s="2" customFormat="1"/>
    <row r="5010" s="2" customFormat="1"/>
    <row r="5011" s="2" customFormat="1"/>
    <row r="5012" s="2" customFormat="1"/>
    <row r="5013" s="2" customFormat="1"/>
    <row r="5014" s="2" customFormat="1"/>
    <row r="5015" s="2" customFormat="1"/>
    <row r="5016" s="2" customFormat="1"/>
    <row r="5017" s="2" customFormat="1"/>
    <row r="5018" s="2" customFormat="1"/>
    <row r="5019" s="2" customFormat="1"/>
    <row r="5020" s="2" customFormat="1"/>
    <row r="5021" s="2" customFormat="1"/>
    <row r="5022" s="2" customFormat="1"/>
    <row r="5023" s="2" customFormat="1"/>
    <row r="5024" s="2" customFormat="1"/>
    <row r="5025" s="2" customFormat="1"/>
    <row r="5026" s="2" customFormat="1"/>
    <row r="5027" s="2" customFormat="1"/>
    <row r="5028" s="2" customFormat="1"/>
    <row r="5029" s="2" customFormat="1"/>
    <row r="5030" s="2" customFormat="1"/>
    <row r="5031" s="2" customFormat="1"/>
    <row r="5032" s="2" customFormat="1"/>
    <row r="5033" s="2" customFormat="1"/>
    <row r="5034" s="2" customFormat="1"/>
    <row r="5035" s="2" customFormat="1"/>
    <row r="5036" s="2" customFormat="1"/>
    <row r="5037" s="2" customFormat="1"/>
    <row r="5038" s="2" customFormat="1"/>
    <row r="5039" s="2" customFormat="1"/>
    <row r="5040" s="2" customFormat="1"/>
    <row r="5041" s="2" customFormat="1"/>
    <row r="5042" s="2" customFormat="1"/>
    <row r="5043" s="2" customFormat="1"/>
    <row r="5044" s="2" customFormat="1"/>
    <row r="5045" s="2" customFormat="1"/>
    <row r="5046" s="2" customFormat="1"/>
    <row r="5047" s="2" customFormat="1"/>
    <row r="5048" s="2" customFormat="1"/>
    <row r="5049" s="2" customFormat="1"/>
    <row r="5050" s="2" customFormat="1"/>
    <row r="5051" s="2" customFormat="1"/>
    <row r="5052" s="2" customFormat="1"/>
    <row r="5053" s="2" customFormat="1"/>
    <row r="5054" s="2" customFormat="1"/>
    <row r="5055" s="2" customFormat="1"/>
    <row r="5056" s="2" customFormat="1"/>
    <row r="5057" s="2" customFormat="1"/>
    <row r="5058" s="2" customFormat="1"/>
    <row r="5059" s="2" customFormat="1"/>
    <row r="5060" s="2" customFormat="1"/>
    <row r="5061" s="2" customFormat="1"/>
    <row r="5062" s="2" customFormat="1"/>
    <row r="5063" s="2" customFormat="1"/>
    <row r="5064" s="2" customFormat="1"/>
    <row r="5065" s="2" customFormat="1"/>
    <row r="5066" s="2" customFormat="1"/>
    <row r="5067" s="2" customFormat="1"/>
    <row r="5068" s="2" customFormat="1"/>
    <row r="5069" s="2" customFormat="1"/>
    <row r="5070" s="2" customFormat="1"/>
    <row r="5071" s="2" customFormat="1"/>
    <row r="5072" s="2" customFormat="1"/>
    <row r="5073" s="2" customFormat="1"/>
    <row r="5074" s="2" customFormat="1"/>
    <row r="5075" s="2" customFormat="1"/>
    <row r="5076" s="2" customFormat="1"/>
    <row r="5077" s="2" customFormat="1"/>
    <row r="5078" s="2" customFormat="1"/>
    <row r="5079" s="2" customFormat="1"/>
    <row r="5080" s="2" customFormat="1"/>
    <row r="5081" s="2" customFormat="1"/>
    <row r="5082" s="2" customFormat="1"/>
    <row r="5083" s="2" customFormat="1"/>
    <row r="5084" s="2" customFormat="1"/>
    <row r="5085" s="2" customFormat="1"/>
    <row r="5086" s="2" customFormat="1"/>
    <row r="5087" s="2" customFormat="1"/>
    <row r="5088" s="2" customFormat="1"/>
    <row r="5089" s="2" customFormat="1"/>
    <row r="5090" s="2" customFormat="1"/>
    <row r="5091" s="2" customFormat="1"/>
    <row r="5092" s="2" customFormat="1"/>
    <row r="5093" s="2" customFormat="1"/>
    <row r="5094" s="2" customFormat="1"/>
    <row r="5095" s="2" customFormat="1"/>
    <row r="5096" s="2" customFormat="1"/>
    <row r="5097" s="2" customFormat="1"/>
    <row r="5098" s="2" customFormat="1"/>
    <row r="5099" s="2" customFormat="1"/>
    <row r="5100" s="2" customFormat="1"/>
    <row r="5101" s="2" customFormat="1"/>
    <row r="5102" s="2" customFormat="1"/>
    <row r="5103" s="2" customFormat="1"/>
    <row r="5104" s="2" customFormat="1"/>
    <row r="5105" s="2" customFormat="1"/>
    <row r="5106" s="2" customFormat="1"/>
    <row r="5107" s="2" customFormat="1"/>
    <row r="5108" s="2" customFormat="1"/>
    <row r="5109" s="2" customFormat="1"/>
    <row r="5110" s="2" customFormat="1"/>
    <row r="5111" s="2" customFormat="1"/>
    <row r="5112" s="2" customFormat="1"/>
    <row r="5113" s="2" customFormat="1"/>
    <row r="5114" s="2" customFormat="1"/>
    <row r="5115" s="2" customFormat="1"/>
    <row r="5116" s="2" customFormat="1"/>
    <row r="5117" s="2" customFormat="1"/>
    <row r="5118" s="2" customFormat="1"/>
    <row r="5119" s="2" customFormat="1"/>
    <row r="5120" s="2" customFormat="1"/>
    <row r="5121" s="2" customFormat="1"/>
    <row r="5122" s="2" customFormat="1"/>
    <row r="5123" s="2" customFormat="1"/>
    <row r="5124" s="2" customFormat="1"/>
    <row r="5125" s="2" customFormat="1"/>
    <row r="5126" s="2" customFormat="1"/>
    <row r="5127" s="2" customFormat="1"/>
    <row r="5128" s="2" customFormat="1"/>
    <row r="5129" s="2" customFormat="1"/>
    <row r="5130" s="2" customFormat="1"/>
    <row r="5131" s="2" customFormat="1"/>
    <row r="5132" s="2" customFormat="1"/>
    <row r="5133" s="2" customFormat="1"/>
    <row r="5134" s="2" customFormat="1"/>
    <row r="5135" s="2" customFormat="1"/>
    <row r="5136" s="2" customFormat="1"/>
    <row r="5137" s="2" customFormat="1"/>
    <row r="5138" s="2" customFormat="1"/>
    <row r="5139" s="2" customFormat="1"/>
    <row r="5140" s="2" customFormat="1"/>
    <row r="5141" s="2" customFormat="1"/>
    <row r="5142" s="2" customFormat="1"/>
    <row r="5143" s="2" customFormat="1"/>
    <row r="5144" s="2" customFormat="1"/>
    <row r="5145" s="2" customFormat="1"/>
    <row r="5146" s="2" customFormat="1"/>
    <row r="5147" s="2" customFormat="1"/>
    <row r="5148" s="2" customFormat="1"/>
    <row r="5149" s="2" customFormat="1"/>
    <row r="5150" s="2" customFormat="1"/>
    <row r="5151" s="2" customFormat="1"/>
    <row r="5152" s="2" customFormat="1"/>
    <row r="5153" s="2" customFormat="1"/>
    <row r="5154" s="2" customFormat="1"/>
    <row r="5155" s="2" customFormat="1"/>
    <row r="5156" s="2" customFormat="1"/>
    <row r="5157" s="2" customFormat="1"/>
    <row r="5158" s="2" customFormat="1"/>
    <row r="5159" s="2" customFormat="1"/>
    <row r="5160" s="2" customFormat="1"/>
    <row r="5161" s="2" customFormat="1"/>
    <row r="5162" s="2" customFormat="1"/>
    <row r="5163" s="2" customFormat="1"/>
    <row r="5164" s="2" customFormat="1"/>
    <row r="5165" s="2" customFormat="1"/>
    <row r="5166" s="2" customFormat="1"/>
    <row r="5167" s="2" customFormat="1"/>
    <row r="5168" s="2" customFormat="1"/>
    <row r="5169" s="2" customFormat="1"/>
    <row r="5170" s="2" customFormat="1"/>
    <row r="5171" s="2" customFormat="1"/>
    <row r="5172" s="2" customFormat="1"/>
    <row r="5173" s="2" customFormat="1"/>
    <row r="5174" s="2" customFormat="1"/>
    <row r="5175" s="2" customFormat="1"/>
    <row r="5176" s="2" customFormat="1"/>
    <row r="5177" s="2" customFormat="1"/>
    <row r="5178" s="2" customFormat="1"/>
    <row r="5179" s="2" customFormat="1"/>
    <row r="5180" s="2" customFormat="1"/>
    <row r="5181" s="2" customFormat="1"/>
    <row r="5182" s="2" customFormat="1"/>
    <row r="5183" s="2" customFormat="1"/>
    <row r="5184" s="2" customFormat="1"/>
    <row r="5185" s="2" customFormat="1"/>
    <row r="5186" s="2" customFormat="1"/>
    <row r="5187" s="2" customFormat="1"/>
    <row r="5188" s="2" customFormat="1"/>
    <row r="5189" s="2" customFormat="1"/>
    <row r="5190" s="2" customFormat="1"/>
    <row r="5191" s="2" customFormat="1"/>
    <row r="5192" s="2" customFormat="1"/>
    <row r="5193" s="2" customFormat="1"/>
    <row r="5194" s="2" customFormat="1"/>
    <row r="5195" s="2" customFormat="1"/>
    <row r="5196" s="2" customFormat="1"/>
    <row r="5197" s="2" customFormat="1"/>
    <row r="5198" s="2" customFormat="1"/>
    <row r="5199" s="2" customFormat="1"/>
    <row r="5200" s="2" customFormat="1"/>
    <row r="5201" s="2" customFormat="1"/>
    <row r="5202" s="2" customFormat="1"/>
    <row r="5203" s="2" customFormat="1"/>
    <row r="5204" s="2" customFormat="1"/>
    <row r="5205" s="2" customFormat="1"/>
    <row r="5206" s="2" customFormat="1"/>
    <row r="5207" s="2" customFormat="1"/>
    <row r="5208" s="2" customFormat="1"/>
    <row r="5209" s="2" customFormat="1"/>
    <row r="5210" s="2" customFormat="1"/>
    <row r="5211" s="2" customFormat="1"/>
    <row r="5212" s="2" customFormat="1"/>
    <row r="5213" s="2" customFormat="1"/>
    <row r="5214" s="2" customFormat="1"/>
    <row r="5215" s="2" customFormat="1"/>
    <row r="5216" s="2" customFormat="1"/>
    <row r="5217" s="2" customFormat="1"/>
    <row r="5218" s="2" customFormat="1"/>
    <row r="5219" s="2" customFormat="1"/>
    <row r="5220" s="2" customFormat="1"/>
    <row r="5221" s="2" customFormat="1"/>
    <row r="5222" s="2" customFormat="1"/>
    <row r="5223" s="2" customFormat="1"/>
    <row r="5224" s="2" customFormat="1"/>
    <row r="5225" s="2" customFormat="1"/>
    <row r="5226" s="2" customFormat="1"/>
    <row r="5227" s="2" customFormat="1"/>
    <row r="5228" s="2" customFormat="1"/>
    <row r="5229" s="2" customFormat="1"/>
    <row r="5230" s="2" customFormat="1"/>
    <row r="5231" s="2" customFormat="1"/>
    <row r="5232" s="2" customFormat="1"/>
    <row r="5233" s="2" customFormat="1"/>
    <row r="5234" s="2" customFormat="1"/>
    <row r="5235" s="2" customFormat="1"/>
    <row r="5236" s="2" customFormat="1"/>
    <row r="5237" s="2" customFormat="1"/>
    <row r="5238" s="2" customFormat="1"/>
    <row r="5239" s="2" customFormat="1"/>
    <row r="5240" s="2" customFormat="1"/>
    <row r="5241" s="2" customFormat="1"/>
    <row r="5242" s="2" customFormat="1"/>
    <row r="5243" s="2" customFormat="1"/>
    <row r="5244" s="2" customFormat="1"/>
    <row r="5245" s="2" customFormat="1"/>
    <row r="5246" s="2" customFormat="1"/>
    <row r="5247" s="2" customFormat="1"/>
    <row r="5248" s="2" customFormat="1"/>
    <row r="5249" s="2" customFormat="1"/>
    <row r="5250" s="2" customFormat="1"/>
    <row r="5251" s="2" customFormat="1"/>
    <row r="5252" s="2" customFormat="1"/>
    <row r="5253" s="2" customFormat="1"/>
    <row r="5254" s="2" customFormat="1"/>
    <row r="5255" s="2" customFormat="1"/>
    <row r="5256" s="2" customFormat="1"/>
    <row r="5257" s="2" customFormat="1"/>
    <row r="5258" s="2" customFormat="1"/>
    <row r="5259" s="2" customFormat="1"/>
    <row r="5260" s="2" customFormat="1"/>
    <row r="5261" s="2" customFormat="1"/>
    <row r="5262" s="2" customFormat="1"/>
    <row r="5263" s="2" customFormat="1"/>
    <row r="5264" s="2" customFormat="1"/>
    <row r="5265" s="2" customFormat="1"/>
    <row r="5266" s="2" customFormat="1"/>
    <row r="5267" s="2" customFormat="1"/>
    <row r="5268" s="2" customFormat="1"/>
    <row r="5269" s="2" customFormat="1"/>
    <row r="5270" s="2" customFormat="1"/>
    <row r="5271" s="2" customFormat="1"/>
    <row r="5272" s="2" customFormat="1"/>
    <row r="5273" s="2" customFormat="1"/>
    <row r="5274" s="2" customFormat="1"/>
    <row r="5275" s="2" customFormat="1"/>
    <row r="5276" s="2" customFormat="1"/>
    <row r="5277" s="2" customFormat="1"/>
    <row r="5278" s="2" customFormat="1"/>
    <row r="5279" s="2" customFormat="1"/>
    <row r="5280" s="2" customFormat="1"/>
    <row r="5281" s="2" customFormat="1"/>
    <row r="5282" s="2" customFormat="1"/>
    <row r="5283" s="2" customFormat="1"/>
    <row r="5284" s="2" customFormat="1"/>
    <row r="5285" s="2" customFormat="1"/>
    <row r="5286" s="2" customFormat="1"/>
    <row r="5287" s="2" customFormat="1"/>
    <row r="5288" s="2" customFormat="1"/>
    <row r="5289" s="2" customFormat="1"/>
    <row r="5290" s="2" customFormat="1"/>
    <row r="5291" s="2" customFormat="1"/>
    <row r="5292" s="2" customFormat="1"/>
    <row r="5293" s="2" customFormat="1"/>
    <row r="5294" s="2" customFormat="1"/>
    <row r="5295" s="2" customFormat="1"/>
    <row r="5296" s="2" customFormat="1"/>
    <row r="5297" s="2" customFormat="1"/>
    <row r="5298" s="2" customFormat="1"/>
    <row r="5299" s="2" customFormat="1"/>
    <row r="5300" s="2" customFormat="1"/>
    <row r="5301" s="2" customFormat="1"/>
    <row r="5302" s="2" customFormat="1"/>
    <row r="5303" s="2" customFormat="1"/>
    <row r="5304" s="2" customFormat="1"/>
    <row r="5305" s="2" customFormat="1"/>
    <row r="5306" s="2" customFormat="1"/>
    <row r="5307" s="2" customFormat="1"/>
    <row r="5308" s="2" customFormat="1"/>
    <row r="5309" s="2" customFormat="1"/>
    <row r="5310" s="2" customFormat="1"/>
    <row r="5311" s="2" customFormat="1"/>
    <row r="5312" s="2" customFormat="1"/>
    <row r="5313" s="2" customFormat="1"/>
    <row r="5314" s="2" customFormat="1"/>
    <row r="5315" s="2" customFormat="1"/>
    <row r="5316" s="2" customFormat="1"/>
    <row r="5317" s="2" customFormat="1"/>
    <row r="5318" s="2" customFormat="1"/>
    <row r="5319" s="2" customFormat="1"/>
    <row r="5320" s="2" customFormat="1"/>
    <row r="5321" s="2" customFormat="1"/>
    <row r="5322" s="2" customFormat="1"/>
    <row r="5323" s="2" customFormat="1"/>
    <row r="5324" s="2" customFormat="1"/>
    <row r="5325" s="2" customFormat="1"/>
    <row r="5326" s="2" customFormat="1"/>
    <row r="5327" s="2" customFormat="1"/>
    <row r="5328" s="2" customFormat="1"/>
    <row r="5329" s="2" customFormat="1"/>
    <row r="5330" s="2" customFormat="1"/>
    <row r="5331" s="2" customFormat="1"/>
    <row r="5332" s="2" customFormat="1"/>
    <row r="5333" s="2" customFormat="1"/>
    <row r="5334" s="2" customFormat="1"/>
    <row r="5335" s="2" customFormat="1"/>
    <row r="5336" s="2" customFormat="1"/>
    <row r="5337" s="2" customFormat="1"/>
    <row r="5338" s="2" customFormat="1"/>
    <row r="5339" s="2" customFormat="1"/>
    <row r="5340" s="2" customFormat="1"/>
    <row r="5341" s="2" customFormat="1"/>
    <row r="5342" s="2" customFormat="1"/>
    <row r="5343" s="2" customFormat="1"/>
    <row r="5344" s="2" customFormat="1"/>
    <row r="5345" s="2" customFormat="1"/>
    <row r="5346" s="2" customFormat="1"/>
    <row r="5347" s="2" customFormat="1"/>
    <row r="5348" s="2" customFormat="1"/>
    <row r="5349" s="2" customFormat="1"/>
    <row r="5350" s="2" customFormat="1"/>
    <row r="5351" s="2" customFormat="1"/>
    <row r="5352" s="2" customFormat="1"/>
    <row r="5353" s="2" customFormat="1"/>
    <row r="5354" s="2" customFormat="1"/>
    <row r="5355" s="2" customFormat="1"/>
    <row r="5356" s="2" customFormat="1"/>
    <row r="5357" s="2" customFormat="1"/>
    <row r="5358" s="2" customFormat="1"/>
    <row r="5359" s="2" customFormat="1"/>
    <row r="5360" s="2" customFormat="1"/>
    <row r="5361" s="2" customFormat="1"/>
    <row r="5362" s="2" customFormat="1"/>
    <row r="5363" s="2" customFormat="1"/>
    <row r="5364" s="2" customFormat="1"/>
    <row r="5365" s="2" customFormat="1"/>
    <row r="5366" s="2" customFormat="1"/>
    <row r="5367" s="2" customFormat="1"/>
    <row r="5368" s="2" customFormat="1"/>
    <row r="5369" s="2" customFormat="1"/>
    <row r="5370" s="2" customFormat="1"/>
    <row r="5371" s="2" customFormat="1"/>
    <row r="5372" s="2" customFormat="1"/>
    <row r="5373" s="2" customFormat="1"/>
    <row r="5374" s="2" customFormat="1"/>
    <row r="5375" s="2" customFormat="1"/>
    <row r="5376" s="2" customFormat="1"/>
    <row r="5377" s="2" customFormat="1"/>
    <row r="5378" s="2" customFormat="1"/>
    <row r="5379" s="2" customFormat="1"/>
    <row r="5380" s="2" customFormat="1"/>
    <row r="5381" s="2" customFormat="1"/>
    <row r="5382" s="2" customFormat="1"/>
    <row r="5383" s="2" customFormat="1"/>
    <row r="5384" s="2" customFormat="1"/>
    <row r="5385" s="2" customFormat="1"/>
    <row r="5386" s="2" customFormat="1"/>
    <row r="5387" s="2" customFormat="1"/>
    <row r="5388" s="2" customFormat="1"/>
    <row r="5389" s="2" customFormat="1"/>
    <row r="5390" s="2" customFormat="1"/>
    <row r="5391" s="2" customFormat="1"/>
    <row r="5392" s="2" customFormat="1"/>
    <row r="5393" s="2" customFormat="1"/>
    <row r="5394" s="2" customFormat="1"/>
    <row r="5395" s="2" customFormat="1"/>
    <row r="5396" s="2" customFormat="1"/>
    <row r="5397" s="2" customFormat="1"/>
    <row r="5398" s="2" customFormat="1"/>
    <row r="5399" s="2" customFormat="1"/>
    <row r="5400" s="2" customFormat="1"/>
    <row r="5401" s="2" customFormat="1"/>
    <row r="5402" s="2" customFormat="1"/>
    <row r="5403" s="2" customFormat="1"/>
    <row r="5404" s="2" customFormat="1"/>
    <row r="5405" s="2" customFormat="1"/>
    <row r="5406" s="2" customFormat="1"/>
    <row r="5407" s="2" customFormat="1"/>
    <row r="5408" s="2" customFormat="1"/>
    <row r="5409" s="2" customFormat="1"/>
    <row r="5410" s="2" customFormat="1"/>
    <row r="5411" s="2" customFormat="1"/>
    <row r="5412" s="2" customFormat="1"/>
    <row r="5413" s="2" customFormat="1"/>
    <row r="5414" s="2" customFormat="1"/>
    <row r="5415" s="2" customFormat="1"/>
    <row r="5416" s="2" customFormat="1"/>
    <row r="5417" s="2" customFormat="1"/>
    <row r="5418" s="2" customFormat="1"/>
    <row r="5419" s="2" customFormat="1"/>
    <row r="5420" s="2" customFormat="1"/>
    <row r="5421" s="2" customFormat="1"/>
    <row r="5422" s="2" customFormat="1"/>
    <row r="5423" s="2" customFormat="1"/>
    <row r="5424" s="2" customFormat="1"/>
    <row r="5425" s="2" customFormat="1"/>
    <row r="5426" s="2" customFormat="1"/>
    <row r="5427" s="2" customFormat="1"/>
    <row r="5428" s="2" customFormat="1"/>
    <row r="5429" s="2" customFormat="1"/>
    <row r="5430" s="2" customFormat="1"/>
    <row r="5431" s="2" customFormat="1"/>
    <row r="5432" s="2" customFormat="1"/>
    <row r="5433" s="2" customFormat="1"/>
    <row r="5434" s="2" customFormat="1"/>
    <row r="5435" s="2" customFormat="1"/>
    <row r="5436" s="2" customFormat="1"/>
    <row r="5437" s="2" customFormat="1"/>
    <row r="5438" s="2" customFormat="1"/>
    <row r="5439" s="2" customFormat="1"/>
    <row r="5440" s="2" customFormat="1"/>
    <row r="5441" s="2" customFormat="1"/>
    <row r="5442" s="2" customFormat="1"/>
    <row r="5443" s="2" customFormat="1"/>
    <row r="5444" s="2" customFormat="1"/>
    <row r="5445" s="2" customFormat="1"/>
    <row r="5446" s="2" customFormat="1"/>
    <row r="5447" s="2" customFormat="1"/>
    <row r="5448" s="2" customFormat="1"/>
    <row r="5449" s="2" customFormat="1"/>
    <row r="5450" s="2" customFormat="1"/>
    <row r="5451" s="2" customFormat="1"/>
    <row r="5452" s="2" customFormat="1"/>
    <row r="5453" s="2" customFormat="1"/>
    <row r="5454" s="2" customFormat="1"/>
    <row r="5455" s="2" customFormat="1"/>
    <row r="5456" s="2" customFormat="1"/>
    <row r="5457" s="2" customFormat="1"/>
    <row r="5458" s="2" customFormat="1"/>
    <row r="5459" s="2" customFormat="1"/>
    <row r="5460" s="2" customFormat="1"/>
    <row r="5461" s="2" customFormat="1"/>
    <row r="5462" s="2" customFormat="1"/>
    <row r="5463" s="2" customFormat="1"/>
    <row r="5464" s="2" customFormat="1"/>
    <row r="5465" s="2" customFormat="1"/>
    <row r="5466" s="2" customFormat="1"/>
    <row r="5467" s="2" customFormat="1"/>
    <row r="5468" s="2" customFormat="1"/>
    <row r="5469" s="2" customFormat="1"/>
    <row r="5470" s="2" customFormat="1"/>
    <row r="5471" s="2" customFormat="1"/>
    <row r="5472" s="2" customFormat="1"/>
    <row r="5473" s="2" customFormat="1"/>
    <row r="5474" s="2" customFormat="1"/>
    <row r="5475" s="2" customFormat="1"/>
    <row r="5476" s="2" customFormat="1"/>
    <row r="5477" s="2" customFormat="1"/>
    <row r="5478" s="2" customFormat="1"/>
    <row r="5479" s="2" customFormat="1"/>
    <row r="5480" s="2" customFormat="1"/>
    <row r="5481" s="2" customFormat="1"/>
    <row r="5482" s="2" customFormat="1"/>
    <row r="5483" s="2" customFormat="1"/>
    <row r="5484" s="2" customFormat="1"/>
    <row r="5485" s="2" customFormat="1"/>
    <row r="5486" s="2" customFormat="1"/>
    <row r="5487" s="2" customFormat="1"/>
    <row r="5488" s="2" customFormat="1"/>
    <row r="5489" s="2" customFormat="1"/>
    <row r="5490" s="2" customFormat="1"/>
    <row r="5491" s="2" customFormat="1"/>
    <row r="5492" s="2" customFormat="1"/>
    <row r="5493" s="2" customFormat="1"/>
    <row r="5494" s="2" customFormat="1"/>
    <row r="5495" s="2" customFormat="1"/>
    <row r="5496" s="2" customFormat="1"/>
    <row r="5497" s="2" customFormat="1"/>
    <row r="5498" s="2" customFormat="1"/>
    <row r="5499" s="2" customFormat="1"/>
    <row r="5500" s="2" customFormat="1"/>
    <row r="5501" s="2" customFormat="1"/>
    <row r="5502" s="2" customFormat="1"/>
    <row r="5503" s="2" customFormat="1"/>
    <row r="5504" s="2" customFormat="1"/>
    <row r="5505" s="2" customFormat="1"/>
    <row r="5506" s="2" customFormat="1"/>
    <row r="5507" s="2" customFormat="1"/>
    <row r="5508" s="2" customFormat="1"/>
    <row r="5509" s="2" customFormat="1"/>
    <row r="5510" s="2" customFormat="1"/>
    <row r="5511" s="2" customFormat="1"/>
    <row r="5512" s="2" customFormat="1"/>
    <row r="5513" s="2" customFormat="1"/>
    <row r="5514" s="2" customFormat="1"/>
    <row r="5515" s="2" customFormat="1"/>
    <row r="5516" s="2" customFormat="1"/>
    <row r="5517" s="2" customFormat="1"/>
    <row r="5518" s="2" customFormat="1"/>
    <row r="5519" s="2" customFormat="1"/>
    <row r="5520" s="2" customFormat="1"/>
    <row r="5521" s="2" customFormat="1"/>
    <row r="5522" s="2" customFormat="1"/>
    <row r="5523" s="2" customFormat="1"/>
    <row r="5524" s="2" customFormat="1"/>
    <row r="5525" s="2" customFormat="1"/>
    <row r="5526" s="2" customFormat="1"/>
    <row r="5527" s="2" customFormat="1"/>
    <row r="5528" s="2" customFormat="1"/>
    <row r="5529" s="2" customFormat="1"/>
    <row r="5530" s="2" customFormat="1"/>
    <row r="5531" s="2" customFormat="1"/>
    <row r="5532" s="2" customFormat="1"/>
    <row r="5533" s="2" customFormat="1"/>
    <row r="5534" s="2" customFormat="1"/>
    <row r="5535" s="2" customFormat="1"/>
    <row r="5536" s="2" customFormat="1"/>
    <row r="5537" s="2" customFormat="1"/>
    <row r="5538" s="2" customFormat="1"/>
    <row r="5539" s="2" customFormat="1"/>
    <row r="5540" s="2" customFormat="1"/>
    <row r="5541" s="2" customFormat="1"/>
    <row r="5542" s="2" customFormat="1"/>
    <row r="5543" s="2" customFormat="1"/>
    <row r="5544" s="2" customFormat="1"/>
    <row r="5545" s="2" customFormat="1"/>
    <row r="5546" s="2" customFormat="1"/>
    <row r="5547" s="2" customFormat="1"/>
    <row r="5548" s="2" customFormat="1"/>
    <row r="5549" s="2" customFormat="1"/>
    <row r="5550" s="2" customFormat="1"/>
    <row r="5551" s="2" customFormat="1"/>
    <row r="5552" s="2" customFormat="1"/>
    <row r="5553" s="2" customFormat="1"/>
    <row r="5554" s="2" customFormat="1"/>
    <row r="5555" s="2" customFormat="1"/>
    <row r="5556" s="2" customFormat="1"/>
    <row r="5557" s="2" customFormat="1"/>
    <row r="5558" s="2" customFormat="1"/>
    <row r="5559" s="2" customFormat="1"/>
    <row r="5560" s="2" customFormat="1"/>
    <row r="5561" s="2" customFormat="1"/>
    <row r="5562" s="2" customFormat="1"/>
    <row r="5563" s="2" customFormat="1"/>
    <row r="5564" s="2" customFormat="1"/>
    <row r="5565" s="2" customFormat="1"/>
    <row r="5566" s="2" customFormat="1"/>
    <row r="5567" s="2" customFormat="1"/>
    <row r="5568" s="2" customFormat="1"/>
    <row r="5569" s="2" customFormat="1"/>
    <row r="5570" s="2" customFormat="1"/>
    <row r="5571" s="2" customFormat="1"/>
    <row r="5572" s="2" customFormat="1"/>
    <row r="5573" s="2" customFormat="1"/>
    <row r="5574" s="2" customFormat="1"/>
    <row r="5575" s="2" customFormat="1"/>
    <row r="5576" s="2" customFormat="1"/>
    <row r="5577" s="2" customFormat="1"/>
    <row r="5578" s="2" customFormat="1"/>
    <row r="5579" s="2" customFormat="1"/>
    <row r="5580" s="2" customFormat="1"/>
    <row r="5581" s="2" customFormat="1"/>
    <row r="5582" s="2" customFormat="1"/>
    <row r="5583" s="2" customFormat="1"/>
    <row r="5584" s="2" customFormat="1"/>
    <row r="5585" s="2" customFormat="1"/>
    <row r="5586" s="2" customFormat="1"/>
    <row r="5587" s="2" customFormat="1"/>
    <row r="5588" s="2" customFormat="1"/>
    <row r="5589" s="2" customFormat="1"/>
    <row r="5590" s="2" customFormat="1"/>
    <row r="5591" s="2" customFormat="1"/>
    <row r="5592" s="2" customFormat="1"/>
    <row r="5593" s="2" customFormat="1"/>
    <row r="5594" s="2" customFormat="1"/>
    <row r="5595" s="2" customFormat="1"/>
    <row r="5596" s="2" customFormat="1"/>
    <row r="5597" s="2" customFormat="1"/>
    <row r="5598" s="2" customFormat="1"/>
    <row r="5599" s="2" customFormat="1"/>
    <row r="5600" s="2" customFormat="1"/>
    <row r="5601" s="2" customFormat="1"/>
    <row r="5602" s="2" customFormat="1"/>
    <row r="5603" s="2" customFormat="1"/>
    <row r="5604" s="2" customFormat="1"/>
    <row r="5605" s="2" customFormat="1"/>
    <row r="5606" s="2" customFormat="1"/>
    <row r="5607" s="2" customFormat="1"/>
    <row r="5608" s="2" customFormat="1"/>
    <row r="5609" s="2" customFormat="1"/>
    <row r="5610" s="2" customFormat="1"/>
    <row r="5611" s="2" customFormat="1"/>
    <row r="5612" s="2" customFormat="1"/>
    <row r="5613" s="2" customFormat="1"/>
    <row r="5614" s="2" customFormat="1"/>
    <row r="5615" s="2" customFormat="1"/>
    <row r="5616" s="2" customFormat="1"/>
    <row r="5617" s="2" customFormat="1"/>
    <row r="5618" s="2" customFormat="1"/>
    <row r="5619" s="2" customFormat="1"/>
    <row r="5620" s="2" customFormat="1"/>
    <row r="5621" s="2" customFormat="1"/>
    <row r="5622" s="2" customFormat="1"/>
    <row r="5623" s="2" customFormat="1"/>
    <row r="5624" s="2" customFormat="1"/>
    <row r="5625" s="2" customFormat="1"/>
    <row r="5626" s="2" customFormat="1"/>
    <row r="5627" s="2" customFormat="1"/>
    <row r="5628" s="2" customFormat="1"/>
    <row r="5629" s="2" customFormat="1"/>
    <row r="5630" s="2" customFormat="1"/>
    <row r="5631" s="2" customFormat="1"/>
    <row r="5632" s="2" customFormat="1"/>
    <row r="5633" s="2" customFormat="1"/>
    <row r="5634" s="2" customFormat="1"/>
    <row r="5635" s="2" customFormat="1"/>
    <row r="5636" s="2" customFormat="1"/>
    <row r="5637" s="2" customFormat="1"/>
    <row r="5638" s="2" customFormat="1"/>
    <row r="5639" s="2" customFormat="1"/>
    <row r="5640" s="2" customFormat="1"/>
    <row r="5641" s="2" customFormat="1"/>
    <row r="5642" s="2" customFormat="1"/>
    <row r="5643" s="2" customFormat="1"/>
    <row r="5644" s="2" customFormat="1"/>
    <row r="5645" s="2" customFormat="1"/>
    <row r="5646" s="2" customFormat="1"/>
    <row r="5647" s="2" customFormat="1"/>
    <row r="5648" s="2" customFormat="1"/>
    <row r="5649" s="2" customFormat="1"/>
    <row r="5650" s="2" customFormat="1"/>
    <row r="5651" s="2" customFormat="1"/>
    <row r="5652" s="2" customFormat="1"/>
    <row r="5653" s="2" customFormat="1"/>
    <row r="5654" s="2" customFormat="1"/>
    <row r="5655" s="2" customFormat="1"/>
    <row r="5656" s="2" customFormat="1"/>
    <row r="5657" s="2" customFormat="1"/>
    <row r="5658" s="2" customFormat="1"/>
    <row r="5659" s="2" customFormat="1"/>
    <row r="5660" s="2" customFormat="1"/>
    <row r="5661" s="2" customFormat="1"/>
    <row r="5662" s="2" customFormat="1"/>
    <row r="5663" s="2" customFormat="1"/>
    <row r="5664" s="2" customFormat="1"/>
    <row r="5665" s="2" customFormat="1"/>
    <row r="5666" s="2" customFormat="1"/>
    <row r="5667" s="2" customFormat="1"/>
    <row r="5668" s="2" customFormat="1"/>
    <row r="5669" s="2" customFormat="1"/>
    <row r="5670" s="2" customFormat="1"/>
    <row r="5671" s="2" customFormat="1"/>
    <row r="5672" s="2" customFormat="1"/>
    <row r="5673" s="2" customFormat="1"/>
    <row r="5674" s="2" customFormat="1"/>
    <row r="5675" s="2" customFormat="1"/>
    <row r="5676" s="2" customFormat="1"/>
    <row r="5677" s="2" customFormat="1"/>
    <row r="5678" s="2" customFormat="1"/>
    <row r="5679" s="2" customFormat="1"/>
    <row r="5680" s="2" customFormat="1"/>
    <row r="5681" s="2" customFormat="1"/>
    <row r="5682" s="2" customFormat="1"/>
    <row r="5683" s="2" customFormat="1"/>
    <row r="5684" s="2" customFormat="1"/>
    <row r="5685" s="2" customFormat="1"/>
    <row r="5686" s="2" customFormat="1"/>
    <row r="5687" s="2" customFormat="1"/>
    <row r="5688" s="2" customFormat="1"/>
    <row r="5689" s="2" customFormat="1"/>
    <row r="5690" s="2" customFormat="1"/>
    <row r="5691" s="2" customFormat="1"/>
    <row r="5692" s="2" customFormat="1"/>
    <row r="5693" s="2" customFormat="1"/>
    <row r="5694" s="2" customFormat="1"/>
    <row r="5695" s="2" customFormat="1"/>
    <row r="5696" s="2" customFormat="1"/>
    <row r="5697" s="2" customFormat="1"/>
    <row r="5698" s="2" customFormat="1"/>
    <row r="5699" s="2" customFormat="1"/>
    <row r="5700" s="2" customFormat="1"/>
    <row r="5701" s="2" customFormat="1"/>
    <row r="5702" s="2" customFormat="1"/>
    <row r="5703" s="2" customFormat="1"/>
    <row r="5704" s="2" customFormat="1"/>
    <row r="5705" s="2" customFormat="1"/>
    <row r="5706" s="2" customFormat="1"/>
    <row r="5707" s="2" customFormat="1"/>
    <row r="5708" s="2" customFormat="1"/>
    <row r="5709" s="2" customFormat="1"/>
    <row r="5710" s="2" customFormat="1"/>
    <row r="5711" s="2" customFormat="1"/>
    <row r="5712" s="2" customFormat="1"/>
    <row r="5713" s="2" customFormat="1"/>
    <row r="5714" s="2" customFormat="1"/>
    <row r="5715" s="2" customFormat="1"/>
    <row r="5716" s="2" customFormat="1"/>
    <row r="5717" s="2" customFormat="1"/>
    <row r="5718" s="2" customFormat="1"/>
    <row r="5719" s="2" customFormat="1"/>
    <row r="5720" s="2" customFormat="1"/>
    <row r="5721" s="2" customFormat="1"/>
    <row r="5722" s="2" customFormat="1"/>
    <row r="5723" s="2" customFormat="1"/>
    <row r="5724" s="2" customFormat="1"/>
    <row r="5725" s="2" customFormat="1"/>
    <row r="5726" s="2" customFormat="1"/>
    <row r="5727" s="2" customFormat="1"/>
    <row r="5728" s="2" customFormat="1"/>
    <row r="5729" s="2" customFormat="1"/>
    <row r="5730" s="2" customFormat="1"/>
    <row r="5731" s="2" customFormat="1"/>
    <row r="5732" s="2" customFormat="1"/>
    <row r="5733" s="2" customFormat="1"/>
    <row r="5734" s="2" customFormat="1"/>
    <row r="5735" s="2" customFormat="1"/>
    <row r="5736" s="2" customFormat="1"/>
    <row r="5737" s="2" customFormat="1"/>
    <row r="5738" s="2" customFormat="1"/>
    <row r="5739" s="2" customFormat="1"/>
    <row r="5740" s="2" customFormat="1"/>
    <row r="5741" s="2" customFormat="1"/>
    <row r="5742" s="2" customFormat="1"/>
    <row r="5743" s="2" customFormat="1"/>
    <row r="5744" s="2" customFormat="1"/>
    <row r="5745" s="2" customFormat="1"/>
    <row r="5746" s="2" customFormat="1"/>
    <row r="5747" s="2" customFormat="1"/>
    <row r="5748" s="2" customFormat="1"/>
    <row r="5749" s="2" customFormat="1"/>
    <row r="5750" s="2" customFormat="1"/>
    <row r="5751" s="2" customFormat="1"/>
    <row r="5752" s="2" customFormat="1"/>
    <row r="5753" s="2" customFormat="1"/>
    <row r="5754" s="2" customFormat="1"/>
    <row r="5755" s="2" customFormat="1"/>
    <row r="5756" s="2" customFormat="1"/>
    <row r="5757" s="2" customFormat="1"/>
    <row r="5758" s="2" customFormat="1"/>
    <row r="5759" s="2" customFormat="1"/>
    <row r="5760" s="2" customFormat="1"/>
    <row r="5761" s="2" customFormat="1"/>
    <row r="5762" s="2" customFormat="1"/>
    <row r="5763" s="2" customFormat="1"/>
    <row r="5764" s="2" customFormat="1"/>
    <row r="5765" s="2" customFormat="1"/>
    <row r="5766" s="2" customFormat="1"/>
    <row r="5767" s="2" customFormat="1"/>
    <row r="5768" s="2" customFormat="1"/>
    <row r="5769" s="2" customFormat="1"/>
    <row r="5770" s="2" customFormat="1"/>
    <row r="5771" s="2" customFormat="1"/>
    <row r="5772" s="2" customFormat="1"/>
    <row r="5773" s="2" customFormat="1"/>
    <row r="5774" s="2" customFormat="1"/>
    <row r="5775" s="2" customFormat="1"/>
    <row r="5776" s="2" customFormat="1"/>
    <row r="5777" s="2" customFormat="1"/>
    <row r="5778" s="2" customFormat="1"/>
    <row r="5779" s="2" customFormat="1"/>
    <row r="5780" s="2" customFormat="1"/>
    <row r="5781" s="2" customFormat="1"/>
    <row r="5782" s="2" customFormat="1"/>
    <row r="5783" s="2" customFormat="1"/>
    <row r="5784" s="2" customFormat="1"/>
    <row r="5785" s="2" customFormat="1"/>
    <row r="5786" s="2" customFormat="1"/>
    <row r="5787" s="2" customFormat="1"/>
    <row r="5788" s="2" customFormat="1"/>
    <row r="5789" s="2" customFormat="1"/>
    <row r="5790" s="2" customFormat="1"/>
    <row r="5791" s="2" customFormat="1"/>
    <row r="5792" s="2" customFormat="1"/>
    <row r="5793" s="2" customFormat="1"/>
    <row r="5794" s="2" customFormat="1"/>
    <row r="5795" s="2" customFormat="1"/>
    <row r="5796" s="2" customFormat="1"/>
    <row r="5797" s="2" customFormat="1"/>
    <row r="5798" s="2" customFormat="1"/>
    <row r="5799" s="2" customFormat="1"/>
    <row r="5800" s="2" customFormat="1"/>
    <row r="5801" s="2" customFormat="1"/>
    <row r="5802" s="2" customFormat="1"/>
    <row r="5803" s="2" customFormat="1"/>
    <row r="5804" s="2" customFormat="1"/>
    <row r="5805" s="2" customFormat="1"/>
    <row r="5806" s="2" customFormat="1"/>
    <row r="5807" s="2" customFormat="1"/>
    <row r="5808" s="2" customFormat="1"/>
    <row r="5809" s="2" customFormat="1"/>
    <row r="5810" s="2" customFormat="1"/>
    <row r="5811" s="2" customFormat="1"/>
    <row r="5812" s="2" customFormat="1"/>
    <row r="5813" s="2" customFormat="1"/>
    <row r="5814" s="2" customFormat="1"/>
    <row r="5815" s="2" customFormat="1"/>
    <row r="5816" s="2" customFormat="1"/>
    <row r="5817" s="2" customFormat="1"/>
    <row r="5818" s="2" customFormat="1"/>
    <row r="5819" s="2" customFormat="1"/>
    <row r="5820" s="2" customFormat="1"/>
    <row r="5821" s="2" customFormat="1"/>
    <row r="5822" s="2" customFormat="1"/>
    <row r="5823" s="2" customFormat="1"/>
    <row r="5824" s="2" customFormat="1"/>
    <row r="5825" s="2" customFormat="1"/>
    <row r="5826" s="2" customFormat="1"/>
    <row r="5827" s="2" customFormat="1"/>
    <row r="5828" s="2" customFormat="1"/>
    <row r="5829" s="2" customFormat="1"/>
    <row r="5830" s="2" customFormat="1"/>
    <row r="5831" s="2" customFormat="1"/>
    <row r="5832" s="2" customFormat="1"/>
    <row r="5833" s="2" customFormat="1"/>
    <row r="5834" s="2" customFormat="1"/>
    <row r="5835" s="2" customFormat="1"/>
    <row r="5836" s="2" customFormat="1"/>
    <row r="5837" s="2" customFormat="1"/>
    <row r="5838" s="2" customFormat="1"/>
    <row r="5839" s="2" customFormat="1"/>
    <row r="5840" s="2" customFormat="1"/>
    <row r="5841" s="2" customFormat="1"/>
    <row r="5842" s="2" customFormat="1"/>
    <row r="5843" s="2" customFormat="1"/>
    <row r="5844" s="2" customFormat="1"/>
    <row r="5845" s="2" customFormat="1"/>
    <row r="5846" s="2" customFormat="1"/>
    <row r="5847" s="2" customFormat="1"/>
    <row r="5848" s="2" customFormat="1"/>
    <row r="5849" s="2" customFormat="1"/>
    <row r="5850" s="2" customFormat="1"/>
    <row r="5851" s="2" customFormat="1"/>
    <row r="5852" s="2" customFormat="1"/>
    <row r="5853" s="2" customFormat="1"/>
    <row r="5854" s="2" customFormat="1"/>
    <row r="5855" s="2" customFormat="1"/>
    <row r="5856" s="2" customFormat="1"/>
    <row r="5857" s="2" customFormat="1"/>
    <row r="5858" s="2" customFormat="1"/>
    <row r="5859" s="2" customFormat="1"/>
    <row r="5860" s="2" customFormat="1"/>
    <row r="5861" s="2" customFormat="1"/>
    <row r="5862" s="2" customFormat="1"/>
    <row r="5863" s="2" customFormat="1"/>
    <row r="5864" s="2" customFormat="1"/>
    <row r="5865" s="2" customFormat="1"/>
    <row r="5866" s="2" customFormat="1"/>
    <row r="5867" s="2" customFormat="1"/>
    <row r="5868" s="2" customFormat="1"/>
    <row r="5869" s="2" customFormat="1"/>
    <row r="5870" s="2" customFormat="1"/>
    <row r="5871" s="2" customFormat="1"/>
    <row r="5872" s="2" customFormat="1"/>
    <row r="5873" s="2" customFormat="1"/>
    <row r="5874" s="2" customFormat="1"/>
    <row r="5875" s="2" customFormat="1"/>
    <row r="5876" s="2" customFormat="1"/>
    <row r="5877" s="2" customFormat="1"/>
    <row r="5878" s="2" customFormat="1"/>
    <row r="5879" s="2" customFormat="1"/>
    <row r="5880" s="2" customFormat="1"/>
    <row r="5881" s="2" customFormat="1"/>
    <row r="5882" s="2" customFormat="1"/>
    <row r="5883" s="2" customFormat="1"/>
    <row r="5884" s="2" customFormat="1"/>
    <row r="5885" s="2" customFormat="1"/>
    <row r="5886" s="2" customFormat="1"/>
    <row r="5887" s="2" customFormat="1"/>
    <row r="5888" s="2" customFormat="1"/>
    <row r="5889" s="2" customFormat="1"/>
    <row r="5890" s="2" customFormat="1"/>
    <row r="5891" s="2" customFormat="1"/>
    <row r="5892" s="2" customFormat="1"/>
    <row r="5893" s="2" customFormat="1"/>
    <row r="5894" s="2" customFormat="1"/>
    <row r="5895" s="2" customFormat="1"/>
    <row r="5896" s="2" customFormat="1"/>
    <row r="5897" s="2" customFormat="1"/>
    <row r="5898" s="2" customFormat="1"/>
    <row r="5899" s="2" customFormat="1"/>
    <row r="5900" s="2" customFormat="1"/>
    <row r="5901" s="2" customFormat="1"/>
    <row r="5902" s="2" customFormat="1"/>
    <row r="5903" s="2" customFormat="1"/>
    <row r="5904" s="2" customFormat="1"/>
    <row r="5905" s="2" customFormat="1"/>
    <row r="5906" s="2" customFormat="1"/>
    <row r="5907" s="2" customFormat="1"/>
    <row r="5908" s="2" customFormat="1"/>
    <row r="5909" s="2" customFormat="1"/>
    <row r="5910" s="2" customFormat="1"/>
    <row r="5911" s="2" customFormat="1"/>
    <row r="5912" s="2" customFormat="1"/>
    <row r="5913" s="2" customFormat="1"/>
    <row r="5914" s="2" customFormat="1"/>
    <row r="5915" s="2" customFormat="1"/>
    <row r="5916" s="2" customFormat="1"/>
    <row r="5917" s="2" customFormat="1"/>
    <row r="5918" s="2" customFormat="1"/>
    <row r="5919" s="2" customFormat="1"/>
    <row r="5920" s="2" customFormat="1"/>
    <row r="5921" spans="5:5" s="2" customFormat="1"/>
    <row r="5922" spans="5:5">
      <c r="E5922" s="2"/>
    </row>
    <row r="5923" spans="5:5">
      <c r="E5923" s="2"/>
    </row>
  </sheetData>
  <sheetProtection password="CF7A" sheet="1" objects="1" scenarios="1" selectLockedCells="1"/>
  <mergeCells count="104">
    <mergeCell ref="I43:K43"/>
    <mergeCell ref="L43:L44"/>
    <mergeCell ref="M43:O43"/>
    <mergeCell ref="P43:P44"/>
    <mergeCell ref="Q43:R43"/>
    <mergeCell ref="C119:D119"/>
    <mergeCell ref="C120:D120"/>
    <mergeCell ref="C113:D113"/>
    <mergeCell ref="C115:D115"/>
    <mergeCell ref="C114:D114"/>
    <mergeCell ref="C116:D116"/>
    <mergeCell ref="C117:D117"/>
    <mergeCell ref="C118:D118"/>
    <mergeCell ref="C111:D111"/>
    <mergeCell ref="B43:B44"/>
    <mergeCell ref="C43:C44"/>
    <mergeCell ref="D43:E43"/>
    <mergeCell ref="F43:H43"/>
    <mergeCell ref="DD179:EJ179"/>
    <mergeCell ref="EK179:FQ179"/>
    <mergeCell ref="FR179:GZ179"/>
    <mergeCell ref="L4:N4"/>
    <mergeCell ref="L8:N8"/>
    <mergeCell ref="AI179:BC179"/>
    <mergeCell ref="S8:T8"/>
    <mergeCell ref="S7:T7"/>
    <mergeCell ref="S43:S44"/>
    <mergeCell ref="T43:T44"/>
    <mergeCell ref="V43:V44"/>
    <mergeCell ref="C125:D125"/>
    <mergeCell ref="C126:D126"/>
    <mergeCell ref="C127:D127"/>
    <mergeCell ref="C128:D128"/>
    <mergeCell ref="C121:D121"/>
    <mergeCell ref="C122:D122"/>
    <mergeCell ref="C123:D123"/>
    <mergeCell ref="C124:D124"/>
    <mergeCell ref="C133:D133"/>
    <mergeCell ref="C134:D134"/>
    <mergeCell ref="C135:D135"/>
    <mergeCell ref="C136:D136"/>
    <mergeCell ref="C129:D129"/>
    <mergeCell ref="C130:D130"/>
    <mergeCell ref="C131:D131"/>
    <mergeCell ref="C132:D132"/>
    <mergeCell ref="C141:D141"/>
    <mergeCell ref="C142:D142"/>
    <mergeCell ref="C160:D160"/>
    <mergeCell ref="C153:D153"/>
    <mergeCell ref="C154:D154"/>
    <mergeCell ref="C155:D155"/>
    <mergeCell ref="C156:D156"/>
    <mergeCell ref="C143:D143"/>
    <mergeCell ref="C144:D144"/>
    <mergeCell ref="C137:D137"/>
    <mergeCell ref="C138:D138"/>
    <mergeCell ref="C139:D139"/>
    <mergeCell ref="C140:D140"/>
    <mergeCell ref="C149:D149"/>
    <mergeCell ref="C150:D150"/>
    <mergeCell ref="C151:D151"/>
    <mergeCell ref="C173:D173"/>
    <mergeCell ref="C174:D174"/>
    <mergeCell ref="C175:D175"/>
    <mergeCell ref="E111:F111"/>
    <mergeCell ref="C169:D169"/>
    <mergeCell ref="C170:D170"/>
    <mergeCell ref="C171:D171"/>
    <mergeCell ref="C172:D172"/>
    <mergeCell ref="C165:D165"/>
    <mergeCell ref="C166:D166"/>
    <mergeCell ref="C167:D167"/>
    <mergeCell ref="C168:D168"/>
    <mergeCell ref="C161:D161"/>
    <mergeCell ref="C162:D162"/>
    <mergeCell ref="C163:D163"/>
    <mergeCell ref="C164:D164"/>
    <mergeCell ref="C152:D152"/>
    <mergeCell ref="C145:D145"/>
    <mergeCell ref="C146:D146"/>
    <mergeCell ref="C147:D147"/>
    <mergeCell ref="C148:D148"/>
    <mergeCell ref="C157:D157"/>
    <mergeCell ref="C158:D158"/>
    <mergeCell ref="C159:D159"/>
    <mergeCell ref="B1:V1"/>
    <mergeCell ref="G40:H40"/>
    <mergeCell ref="G39:H39"/>
    <mergeCell ref="G38:H38"/>
    <mergeCell ref="E37:F37"/>
    <mergeCell ref="G37:H37"/>
    <mergeCell ref="E38:F38"/>
    <mergeCell ref="B39:D40"/>
    <mergeCell ref="E39:F39"/>
    <mergeCell ref="E40:F40"/>
    <mergeCell ref="C12:E12"/>
    <mergeCell ref="C31:E31"/>
    <mergeCell ref="C32:E32"/>
    <mergeCell ref="C33:E33"/>
    <mergeCell ref="B35:H35"/>
    <mergeCell ref="C36:D36"/>
    <mergeCell ref="E36:F36"/>
    <mergeCell ref="G36:H36"/>
    <mergeCell ref="C37:D37"/>
  </mergeCells>
  <phoneticPr fontId="0" type="noConversion"/>
  <dataValidations count="1">
    <dataValidation type="list" allowBlank="1" showInputMessage="1" showErrorMessage="1" sqref="L8:N8" xr:uid="{00000000-0002-0000-0300-000000000000}">
      <formula1>$O$184:$O$246</formula1>
    </dataValidation>
  </dataValidations>
  <pageMargins left="0.75" right="0.75" top="1" bottom="1" header="0.5" footer="0.5"/>
  <pageSetup scale="81" orientation="landscape" r:id="rId1"/>
  <headerFooter alignWithMargins="0"/>
  <cellWatches>
    <cellWatch r="L8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FF00"/>
    <pageSetUpPr fitToPage="1"/>
  </sheetPr>
  <dimension ref="A1:IK199"/>
  <sheetViews>
    <sheetView showGridLines="0" showRowColHeaders="0" workbookViewId="0">
      <selection activeCell="D3" sqref="D3:F3"/>
    </sheetView>
  </sheetViews>
  <sheetFormatPr defaultColWidth="12" defaultRowHeight="12.75"/>
  <cols>
    <col min="1" max="1" width="6.5" customWidth="1"/>
    <col min="4" max="6" width="4.6640625" customWidth="1"/>
    <col min="7" max="7" width="20.5" customWidth="1"/>
    <col min="9" max="12" width="6.83203125" customWidth="1"/>
    <col min="14" max="20" width="6.83203125" customWidth="1"/>
    <col min="22" max="22" width="4.5" customWidth="1"/>
    <col min="23" max="30" width="12" hidden="1" customWidth="1"/>
  </cols>
  <sheetData>
    <row r="1" spans="1:27" ht="22.5">
      <c r="B1" s="388" t="s">
        <v>389</v>
      </c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</row>
    <row r="2" spans="1:27" ht="48" customHeight="1" thickBot="1">
      <c r="T2" s="148" t="s">
        <v>384</v>
      </c>
    </row>
    <row r="3" spans="1:27" ht="13.5" customHeight="1" thickTop="1">
      <c r="A3" s="152"/>
      <c r="B3" s="565" t="s">
        <v>32</v>
      </c>
      <c r="C3" s="565"/>
      <c r="D3" s="566">
        <v>43405</v>
      </c>
      <c r="E3" s="566"/>
      <c r="F3" s="566"/>
      <c r="G3" s="152"/>
      <c r="H3" s="209" t="s">
        <v>265</v>
      </c>
      <c r="I3" s="211" t="s">
        <v>387</v>
      </c>
      <c r="J3" s="153">
        <v>11</v>
      </c>
      <c r="K3" s="154">
        <v>3.9</v>
      </c>
      <c r="L3" s="155" t="s">
        <v>9</v>
      </c>
      <c r="M3" s="156"/>
      <c r="N3" s="567" t="s">
        <v>270</v>
      </c>
      <c r="O3" s="568"/>
      <c r="P3" s="568"/>
      <c r="Q3" s="568"/>
      <c r="R3" s="568"/>
      <c r="S3" s="568"/>
      <c r="T3" s="569"/>
      <c r="U3" s="35"/>
      <c r="V3" s="35"/>
      <c r="X3">
        <f>IF(L3="S",-J3-K3/60,J3+K3/60)</f>
        <v>11.065</v>
      </c>
    </row>
    <row r="4" spans="1:27" ht="13.5" customHeight="1" thickBot="1">
      <c r="A4" s="152"/>
      <c r="B4" s="157"/>
      <c r="C4" s="157"/>
      <c r="D4" s="158"/>
      <c r="E4" s="158"/>
      <c r="F4" s="158"/>
      <c r="G4" s="152"/>
      <c r="H4" s="210" t="s">
        <v>254</v>
      </c>
      <c r="I4" s="212" t="s">
        <v>388</v>
      </c>
      <c r="J4" s="159">
        <v>76</v>
      </c>
      <c r="K4" s="160">
        <v>10</v>
      </c>
      <c r="L4" s="161" t="s">
        <v>11</v>
      </c>
      <c r="M4" s="156"/>
      <c r="N4" s="570"/>
      <c r="O4" s="571"/>
      <c r="P4" s="571"/>
      <c r="Q4" s="571"/>
      <c r="R4" s="571"/>
      <c r="S4" s="571"/>
      <c r="T4" s="572"/>
      <c r="U4" s="35"/>
      <c r="V4" s="35"/>
      <c r="X4">
        <f>IF(L4="W",-J4-K4/60,J4+K4/60)</f>
        <v>-76.166666666666671</v>
      </c>
    </row>
    <row r="5" spans="1:27" ht="15.75" thickTop="1">
      <c r="A5" s="152"/>
      <c r="B5" s="573" t="s">
        <v>272</v>
      </c>
      <c r="C5" s="574"/>
      <c r="D5" s="162">
        <v>16</v>
      </c>
      <c r="E5" s="162">
        <v>24</v>
      </c>
      <c r="F5" s="163">
        <v>0</v>
      </c>
      <c r="G5" s="152"/>
      <c r="H5" s="83"/>
      <c r="I5" s="83"/>
      <c r="J5" s="164"/>
      <c r="K5" s="164"/>
      <c r="L5" s="164"/>
      <c r="M5" s="164"/>
      <c r="N5" s="575" t="str">
        <f>IF(AN128&gt;0,"Dusk","Dawn")</f>
        <v>Dusk</v>
      </c>
      <c r="O5" s="576"/>
      <c r="P5" s="579" t="s">
        <v>13</v>
      </c>
      <c r="Q5" s="580"/>
      <c r="R5" s="165">
        <f>INT(Y26)</f>
        <v>17</v>
      </c>
      <c r="S5" s="213">
        <f>INT((Y26-R5)*60)</f>
        <v>41</v>
      </c>
      <c r="T5" s="214">
        <f>INT((Y26-(R5+S5/60))*3600)</f>
        <v>29</v>
      </c>
      <c r="U5" s="7"/>
      <c r="V5" s="7"/>
      <c r="X5">
        <f>D11+E11/60+F11/3600</f>
        <v>21.4</v>
      </c>
    </row>
    <row r="6" spans="1:27" ht="15">
      <c r="A6" s="152"/>
      <c r="B6" s="157"/>
      <c r="C6" s="157"/>
      <c r="D6" s="158"/>
      <c r="E6" s="158"/>
      <c r="F6" s="158"/>
      <c r="G6" s="152"/>
      <c r="H6" s="581" t="s">
        <v>42</v>
      </c>
      <c r="I6" s="581"/>
      <c r="J6" s="582">
        <v>248</v>
      </c>
      <c r="K6" s="582"/>
      <c r="L6" s="582"/>
      <c r="M6" s="83"/>
      <c r="N6" s="577"/>
      <c r="O6" s="578"/>
      <c r="P6" s="579" t="s">
        <v>271</v>
      </c>
      <c r="Q6" s="580"/>
      <c r="R6" s="165">
        <f>INT(Y27)</f>
        <v>18</v>
      </c>
      <c r="S6" s="213">
        <f>INT((Y27-R6)*60)</f>
        <v>29</v>
      </c>
      <c r="T6" s="214">
        <f>INT((Y27-(R6+S6/60))*3600)</f>
        <v>12</v>
      </c>
    </row>
    <row r="7" spans="1:27" ht="15">
      <c r="A7" s="152"/>
      <c r="B7" s="565" t="s">
        <v>273</v>
      </c>
      <c r="C7" s="565"/>
      <c r="D7" s="583">
        <v>-5</v>
      </c>
      <c r="E7" s="583"/>
      <c r="F7" s="583"/>
      <c r="G7" s="152"/>
      <c r="H7" s="83"/>
      <c r="I7" s="83"/>
      <c r="J7" s="164"/>
      <c r="K7" s="164"/>
      <c r="L7" s="164"/>
      <c r="M7" s="83"/>
      <c r="N7" s="166"/>
      <c r="O7" s="167"/>
      <c r="P7" s="167"/>
      <c r="Q7" s="167"/>
      <c r="R7" s="168"/>
      <c r="S7" s="168"/>
      <c r="T7" s="169"/>
    </row>
    <row r="8" spans="1:27" ht="15">
      <c r="A8" s="152"/>
      <c r="B8" s="157"/>
      <c r="C8" s="157"/>
      <c r="D8" s="158"/>
      <c r="E8" s="158"/>
      <c r="F8" s="158"/>
      <c r="G8" s="152"/>
      <c r="H8" s="581" t="s">
        <v>43</v>
      </c>
      <c r="I8" s="581"/>
      <c r="J8" s="584">
        <v>16.2</v>
      </c>
      <c r="K8" s="584"/>
      <c r="L8" s="584"/>
      <c r="M8" s="83"/>
      <c r="N8" s="585" t="str">
        <f>IF(N5="Dusk","Dawn","Dusk")</f>
        <v>Dawn</v>
      </c>
      <c r="O8" s="586"/>
      <c r="P8" s="561" t="s">
        <v>13</v>
      </c>
      <c r="Q8" s="562"/>
      <c r="R8" s="170">
        <f>INT(Z26)</f>
        <v>5</v>
      </c>
      <c r="S8" s="217">
        <f>INT((Z26-R8)*60)</f>
        <v>21</v>
      </c>
      <c r="T8" s="215">
        <f>INT((Z26-(R8+S8/60))*3600)</f>
        <v>32</v>
      </c>
    </row>
    <row r="9" spans="1:27" ht="15.75" thickBot="1">
      <c r="A9" s="152"/>
      <c r="B9" s="157"/>
      <c r="C9" s="157"/>
      <c r="D9" s="158"/>
      <c r="E9" s="158"/>
      <c r="F9" s="158"/>
      <c r="G9" s="152"/>
      <c r="H9" s="83"/>
      <c r="I9" s="83"/>
      <c r="J9" s="83"/>
      <c r="K9" s="83"/>
      <c r="L9" s="83"/>
      <c r="M9" s="83"/>
      <c r="N9" s="587"/>
      <c r="O9" s="588"/>
      <c r="P9" s="563" t="s">
        <v>271</v>
      </c>
      <c r="Q9" s="564"/>
      <c r="R9" s="171">
        <f>INT(Z27)</f>
        <v>6</v>
      </c>
      <c r="S9" s="218">
        <f>INT((Z27-R9)*60)</f>
        <v>8</v>
      </c>
      <c r="T9" s="216">
        <f>INT((Z27-(R9+S9/60))*3600)</f>
        <v>58</v>
      </c>
    </row>
    <row r="10" spans="1:27" ht="15.75" thickTop="1">
      <c r="A10" s="152"/>
      <c r="B10" s="152"/>
      <c r="C10" s="152"/>
      <c r="D10" s="152"/>
      <c r="E10" s="152"/>
      <c r="F10" s="152"/>
      <c r="G10" s="152"/>
      <c r="H10" s="544" t="s">
        <v>47</v>
      </c>
      <c r="I10" s="545"/>
      <c r="J10" s="546" t="s">
        <v>58</v>
      </c>
      <c r="K10" s="547"/>
      <c r="L10" s="548"/>
      <c r="M10" s="83"/>
      <c r="N10" s="83"/>
      <c r="O10" s="83"/>
      <c r="P10" s="83"/>
      <c r="Q10" s="83"/>
      <c r="R10" s="83"/>
      <c r="S10" s="83"/>
      <c r="T10" s="83"/>
    </row>
    <row r="11" spans="1:27" ht="15" hidden="1">
      <c r="A11" s="152"/>
      <c r="B11" s="549" t="s">
        <v>255</v>
      </c>
      <c r="C11" s="550"/>
      <c r="D11" s="172">
        <f>MOD((D5-D7),24)</f>
        <v>21</v>
      </c>
      <c r="E11" s="172">
        <f>E5</f>
        <v>24</v>
      </c>
      <c r="F11" s="173">
        <f>F5</f>
        <v>0</v>
      </c>
      <c r="G11" s="152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</row>
    <row r="12" spans="1:27" ht="15.75" thickBot="1">
      <c r="A12" s="174"/>
      <c r="B12" s="152"/>
      <c r="C12" s="152"/>
      <c r="D12" s="152"/>
      <c r="E12" s="152"/>
      <c r="F12" s="152"/>
      <c r="G12" s="152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</row>
    <row r="13" spans="1:27" ht="15.75" thickTop="1">
      <c r="A13" s="80"/>
      <c r="B13" s="83"/>
      <c r="C13" s="83"/>
      <c r="D13" s="83"/>
      <c r="E13" s="83"/>
      <c r="F13" s="83"/>
      <c r="G13" s="551" t="str">
        <f>J10</f>
        <v>Sun</v>
      </c>
      <c r="H13" s="80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</row>
    <row r="14" spans="1:27" ht="15.75" thickBot="1">
      <c r="A14" s="80"/>
      <c r="B14" s="80"/>
      <c r="C14" s="83"/>
      <c r="D14" s="83"/>
      <c r="E14" s="83"/>
      <c r="F14" s="83"/>
      <c r="G14" s="552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</row>
    <row r="15" spans="1:27" ht="15.75" thickTop="1">
      <c r="A15" s="80"/>
      <c r="B15" s="80"/>
      <c r="C15" s="83"/>
      <c r="D15" s="83"/>
      <c r="E15" s="83"/>
      <c r="F15" s="83"/>
      <c r="G15" s="553" t="str">
        <f>IF(G31=1,IF(H31=0,"Next Mer. Pass.","Next Set"),"Next Rise")</f>
        <v>Next Set</v>
      </c>
      <c r="H15" s="554" t="s">
        <v>274</v>
      </c>
      <c r="I15" s="556">
        <f>INT(Z15)</f>
        <v>17</v>
      </c>
      <c r="J15" s="558">
        <f>INT((Z15-I15)*60)</f>
        <v>41</v>
      </c>
      <c r="K15" s="559">
        <f>INT((Z15-(I15+J15/60))*3600)</f>
        <v>29</v>
      </c>
      <c r="L15" s="175"/>
      <c r="M15" s="539" t="s">
        <v>254</v>
      </c>
      <c r="N15" s="176">
        <f>INT(ABS(AA15))</f>
        <v>10</v>
      </c>
      <c r="O15" s="177">
        <f>(ABS(AA15)-N15)*60</f>
        <v>56.06252532815585</v>
      </c>
      <c r="P15" s="178" t="str">
        <f>IF(AA15&lt;0,"S","N")</f>
        <v>N</v>
      </c>
      <c r="Q15" s="164"/>
      <c r="R15" s="164"/>
      <c r="S15" s="164"/>
      <c r="T15" s="164"/>
      <c r="U15" s="7"/>
      <c r="V15" s="7"/>
      <c r="W15" s="7"/>
      <c r="X15" s="7"/>
      <c r="Y15">
        <f>IF(G15="Next Mer. Pass.",1,0)</f>
        <v>0</v>
      </c>
      <c r="Z15">
        <f>MOD((IF(Y15=0,IF(J10="Sun",BL34,O35),AG35)+D7),24)</f>
        <v>17.691474152705968</v>
      </c>
      <c r="AA15">
        <f>IF(Y15=0,IF(J10="Sun",BM34,P35),AH35)</f>
        <v>10.934375422135931</v>
      </c>
    </row>
    <row r="16" spans="1:27" ht="15">
      <c r="A16" s="83"/>
      <c r="B16" s="83"/>
      <c r="C16" s="83"/>
      <c r="D16" s="83"/>
      <c r="E16" s="83"/>
      <c r="F16" s="83"/>
      <c r="G16" s="541"/>
      <c r="H16" s="555"/>
      <c r="I16" s="557"/>
      <c r="J16" s="543"/>
      <c r="K16" s="560"/>
      <c r="L16" s="179"/>
      <c r="M16" s="540"/>
      <c r="N16" s="180">
        <f>INT(ABS(AA16))</f>
        <v>76</v>
      </c>
      <c r="O16" s="181">
        <f>(ABS(AA16)-N16)*60</f>
        <v>29.631881119953221</v>
      </c>
      <c r="P16" s="182" t="str">
        <f>IF(AA16&lt;0,"W","E")</f>
        <v>W</v>
      </c>
      <c r="Q16" s="83"/>
      <c r="R16" s="83"/>
      <c r="S16" s="83"/>
      <c r="T16" s="83"/>
      <c r="AA16">
        <f>IF(Y15=0,IF(J10="Sun",BN34,Q35),AI35)</f>
        <v>-76.493864685332554</v>
      </c>
    </row>
    <row r="17" spans="1:76" ht="15">
      <c r="A17" s="83"/>
      <c r="B17" s="83"/>
      <c r="C17" s="83"/>
      <c r="D17" s="83"/>
      <c r="E17" s="83"/>
      <c r="F17" s="83"/>
      <c r="G17" s="183"/>
      <c r="H17" s="167"/>
      <c r="I17" s="184"/>
      <c r="J17" s="184"/>
      <c r="K17" s="184"/>
      <c r="L17" s="167"/>
      <c r="M17" s="185"/>
      <c r="N17" s="185"/>
      <c r="O17" s="186"/>
      <c r="P17" s="187"/>
      <c r="Q17" s="83"/>
      <c r="R17" s="83"/>
      <c r="S17" s="83"/>
      <c r="T17" s="83"/>
    </row>
    <row r="18" spans="1:76" ht="15">
      <c r="A18" s="83"/>
      <c r="B18" s="83"/>
      <c r="C18" s="83"/>
      <c r="D18" s="83"/>
      <c r="E18" s="83"/>
      <c r="F18" s="83"/>
      <c r="G18" s="531" t="str">
        <f>IF(G15="Next Rise","Next Mer. Pass.",IF(G15="Next Set","Next Rise","Next Set"))</f>
        <v>Next Rise</v>
      </c>
      <c r="H18" s="533" t="s">
        <v>274</v>
      </c>
      <c r="I18" s="535">
        <f>INT(Z18)</f>
        <v>6</v>
      </c>
      <c r="J18" s="537">
        <f>INT((Z18-I18)*60)</f>
        <v>8</v>
      </c>
      <c r="K18" s="537">
        <f>INT((Z18-(I18+J18/60))*3600)</f>
        <v>58</v>
      </c>
      <c r="L18" s="188"/>
      <c r="M18" s="533" t="s">
        <v>254</v>
      </c>
      <c r="N18" s="189">
        <f>INT(ABS(AA18))</f>
        <v>9</v>
      </c>
      <c r="O18" s="190">
        <f>(ABS(AA18)-N18)*60</f>
        <v>40.459327793246693</v>
      </c>
      <c r="P18" s="191" t="str">
        <f>IF(AA18&lt;0,"S","N")</f>
        <v>N</v>
      </c>
      <c r="Q18" s="164"/>
      <c r="R18" s="164"/>
      <c r="S18" s="164"/>
      <c r="T18" s="164"/>
      <c r="U18" s="7"/>
      <c r="V18" s="7"/>
      <c r="W18" s="7"/>
      <c r="X18" s="7"/>
      <c r="Y18">
        <f>IF(G18="Next Mer. Pass.",1,0)</f>
        <v>0</v>
      </c>
      <c r="Z18">
        <f>MOD((IF(Y18=0,IF(Y15=0,IF(J10="Sun",BV35,Y35),IF(J10="Sun",BL34,O35)),AG35)+D7),24)</f>
        <v>6.1495144739111769</v>
      </c>
      <c r="AA18">
        <f>IF(Y18=0,IF(Y15=0,IF(J10="Sun",BW35,Z35),IF(J10="Sun",BM34,P35)),AH35)</f>
        <v>9.6743221298874449</v>
      </c>
    </row>
    <row r="19" spans="1:76" ht="15">
      <c r="A19" s="83"/>
      <c r="B19" s="83"/>
      <c r="C19" s="83"/>
      <c r="D19" s="83"/>
      <c r="E19" s="83"/>
      <c r="F19" s="83"/>
      <c r="G19" s="541"/>
      <c r="H19" s="540"/>
      <c r="I19" s="542"/>
      <c r="J19" s="543"/>
      <c r="K19" s="543"/>
      <c r="L19" s="192"/>
      <c r="M19" s="540"/>
      <c r="N19" s="180">
        <f>INT(ABS(AA19))</f>
        <v>79</v>
      </c>
      <c r="O19" s="181">
        <f>(ABS(AA19)-N19)*60</f>
        <v>38.57492849560515</v>
      </c>
      <c r="P19" s="182" t="str">
        <f>IF(AA19&lt;0,"W","E")</f>
        <v>W</v>
      </c>
      <c r="Q19" s="83"/>
      <c r="R19" s="83"/>
      <c r="S19" s="83"/>
      <c r="T19" s="83"/>
      <c r="AA19">
        <f>IF(Y18=0,IF(Y15=0,IF(J10="Sun",BX35,AA35),IF(J10="Sun",BN34,Q35)),AI35)</f>
        <v>-79.642915474926752</v>
      </c>
    </row>
    <row r="20" spans="1:76" ht="15">
      <c r="A20" s="83"/>
      <c r="B20" s="83"/>
      <c r="C20" s="83"/>
      <c r="D20" s="83"/>
      <c r="E20" s="83"/>
      <c r="F20" s="83"/>
      <c r="G20" s="183"/>
      <c r="H20" s="167"/>
      <c r="I20" s="184"/>
      <c r="J20" s="184"/>
      <c r="K20" s="184"/>
      <c r="L20" s="167"/>
      <c r="M20" s="185"/>
      <c r="N20" s="185"/>
      <c r="O20" s="186"/>
      <c r="P20" s="187"/>
      <c r="Q20" s="83"/>
      <c r="R20" s="83"/>
      <c r="S20" s="83"/>
      <c r="T20" s="83"/>
    </row>
    <row r="21" spans="1:76" ht="15">
      <c r="A21" s="83"/>
      <c r="B21" s="83"/>
      <c r="C21" s="83"/>
      <c r="D21" s="83"/>
      <c r="E21" s="83"/>
      <c r="F21" s="83"/>
      <c r="G21" s="531" t="str">
        <f>IF(G18="Next Rise","Next Mer. Pass.",IF(G18="Next Set","Next Rise","Next Set"))</f>
        <v>Next Mer. Pass.</v>
      </c>
      <c r="H21" s="533" t="s">
        <v>274</v>
      </c>
      <c r="I21" s="535">
        <f>INT(Z21)</f>
        <v>12</v>
      </c>
      <c r="J21" s="537">
        <f>INT((Z21-I21)*60)</f>
        <v>8</v>
      </c>
      <c r="K21" s="537">
        <f>INT((Z21-(I21+J21/60))*3600)</f>
        <v>10</v>
      </c>
      <c r="L21" s="188"/>
      <c r="M21" s="533" t="s">
        <v>254</v>
      </c>
      <c r="N21" s="189">
        <f>INT(ABS(AA21))</f>
        <v>9</v>
      </c>
      <c r="O21" s="190">
        <f>(ABS(AA21)-N21)*60</f>
        <v>4.1283932656599021</v>
      </c>
      <c r="P21" s="191" t="str">
        <f>IF(AA21&lt;0,"S","N")</f>
        <v>N</v>
      </c>
      <c r="Q21" s="164"/>
      <c r="R21" s="164"/>
      <c r="S21" s="164"/>
      <c r="T21" s="164"/>
      <c r="U21" s="7"/>
      <c r="V21" s="7"/>
      <c r="W21" s="7"/>
      <c r="X21" s="7"/>
      <c r="Y21">
        <f>IF(G21="Next Mer. Pass.",1,0)</f>
        <v>1</v>
      </c>
      <c r="Z21">
        <f>MOD((IF(Y21=0,IF(J10="Sun",BV35,Y35),AG35)+D7),24)</f>
        <v>12.136195752077388</v>
      </c>
      <c r="AA21">
        <f>IF(Y21=0,IF(J10="Sun",BW35,Z35),AH35)</f>
        <v>9.068806554427665</v>
      </c>
    </row>
    <row r="22" spans="1:76" ht="15.75" thickBot="1">
      <c r="A22" s="83"/>
      <c r="B22" s="83"/>
      <c r="C22" s="83"/>
      <c r="D22" s="83"/>
      <c r="E22" s="83"/>
      <c r="F22" s="83"/>
      <c r="G22" s="532"/>
      <c r="H22" s="534"/>
      <c r="I22" s="536"/>
      <c r="J22" s="538"/>
      <c r="K22" s="538"/>
      <c r="L22" s="193"/>
      <c r="M22" s="534"/>
      <c r="N22" s="194">
        <f>INT(ABS(AA22))</f>
        <v>81</v>
      </c>
      <c r="O22" s="195">
        <f>(ABS(AA22)-N22)*60</f>
        <v>9.1101792110606539</v>
      </c>
      <c r="P22" s="196" t="str">
        <f>IF(AA22&lt;0,"W","E")</f>
        <v>W</v>
      </c>
      <c r="Q22" s="83"/>
      <c r="R22" s="83"/>
      <c r="S22" s="83"/>
      <c r="T22" s="83"/>
      <c r="AA22">
        <f>IF(Y21=0,IF(J10="Sun",BX35,AA35),AI35)</f>
        <v>-81.151836320184344</v>
      </c>
    </row>
    <row r="23" spans="1:76" ht="15.75" thickTop="1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</row>
    <row r="24" spans="1:76" ht="15">
      <c r="A24" s="83"/>
      <c r="B24" s="83"/>
      <c r="C24" s="83"/>
      <c r="D24" s="83"/>
      <c r="E24" s="83"/>
      <c r="F24" s="83"/>
      <c r="G24" s="197"/>
      <c r="H24" s="73"/>
      <c r="I24" s="73"/>
      <c r="J24" s="73"/>
      <c r="K24" s="73"/>
      <c r="L24" s="73"/>
      <c r="M24" s="73"/>
      <c r="N24" s="73"/>
      <c r="O24" s="73"/>
      <c r="P24" s="73"/>
      <c r="Q24" s="83"/>
      <c r="R24" s="83"/>
      <c r="S24" s="83"/>
      <c r="T24" s="83"/>
    </row>
    <row r="25" spans="1:76" ht="15">
      <c r="A25" s="83"/>
      <c r="B25" s="83"/>
      <c r="C25" s="83"/>
      <c r="D25" s="83"/>
      <c r="E25" s="83"/>
      <c r="F25" s="8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83"/>
      <c r="R25" s="83"/>
      <c r="S25" s="83"/>
      <c r="T25" s="83"/>
    </row>
    <row r="26" spans="1:76" ht="15">
      <c r="A26" s="83"/>
      <c r="B26" s="83"/>
      <c r="C26" s="83"/>
      <c r="D26" s="83"/>
      <c r="E26" s="83"/>
      <c r="F26" s="83"/>
      <c r="G26" s="73"/>
      <c r="H26" s="73"/>
      <c r="I26" s="198"/>
      <c r="J26" s="198"/>
      <c r="K26" s="198"/>
      <c r="L26" s="199"/>
      <c r="M26" s="74"/>
      <c r="N26" s="198"/>
      <c r="O26" s="198"/>
      <c r="P26" s="198"/>
      <c r="Q26" s="83"/>
      <c r="R26" s="83"/>
      <c r="S26" s="83"/>
      <c r="T26" s="83"/>
      <c r="Y26">
        <f>MOD((IF(N5="Dusk",BL34,AR34)+D7),24)</f>
        <v>17.691474152705968</v>
      </c>
      <c r="Z26">
        <f>MOD((IF(N8="Dawn",BB35,BV35)+D7),24)</f>
        <v>5.3590201719908084</v>
      </c>
    </row>
    <row r="27" spans="1:76" ht="15">
      <c r="A27" s="83"/>
      <c r="B27" s="83"/>
      <c r="C27" s="83"/>
      <c r="D27" s="83"/>
      <c r="E27" s="83"/>
      <c r="F27" s="83"/>
      <c r="G27" s="73"/>
      <c r="H27" s="73"/>
      <c r="I27" s="198"/>
      <c r="J27" s="198"/>
      <c r="K27" s="198"/>
      <c r="L27" s="199"/>
      <c r="M27" s="74"/>
      <c r="N27" s="198"/>
      <c r="O27" s="198"/>
      <c r="P27" s="198"/>
      <c r="Q27" s="83"/>
      <c r="R27" s="83"/>
      <c r="S27" s="83"/>
      <c r="T27" s="83"/>
      <c r="Y27">
        <f>MOD((IF(N5="Dusk",AR34,BL34)+D7),24)</f>
        <v>18.486673290492444</v>
      </c>
      <c r="Z27">
        <f>MOD((IF(N8="Dawn",BV35,BB35)+D7),24)</f>
        <v>6.1495144739111769</v>
      </c>
    </row>
    <row r="28" spans="1:76" ht="15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</row>
    <row r="29" spans="1:76" ht="15">
      <c r="A29" s="83"/>
      <c r="B29" s="83"/>
      <c r="C29" s="83"/>
      <c r="D29" s="200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</row>
    <row r="30" spans="1:76" ht="15" hidden="1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</row>
    <row r="31" spans="1:76" ht="15" hidden="1">
      <c r="A31" s="201" t="s">
        <v>58</v>
      </c>
      <c r="B31" s="201">
        <v>1</v>
      </c>
      <c r="C31" s="83"/>
      <c r="D31" s="83">
        <f>VLOOKUP(J10,AL128:AN190,3,FALSE)</f>
        <v>17.025239770771677</v>
      </c>
      <c r="E31" s="83">
        <f>VLOOKUP(J10,BC128:BE190,3,FALSE)</f>
        <v>17.02137700453568</v>
      </c>
      <c r="F31" s="83"/>
      <c r="G31" s="83">
        <f>IF(D31&gt;0,1,0)</f>
        <v>1</v>
      </c>
      <c r="H31" s="83">
        <f>IF(D31&gt;E31,1,0)</f>
        <v>1</v>
      </c>
      <c r="I31" s="83"/>
      <c r="J31" s="83"/>
      <c r="K31" s="83"/>
      <c r="L31" s="83"/>
      <c r="M31" s="83"/>
      <c r="N31" s="83" t="s">
        <v>257</v>
      </c>
      <c r="O31" s="83">
        <f>MOD(J37+X5,24)</f>
        <v>22.60905022215659</v>
      </c>
      <c r="P31" s="83">
        <f>I40</f>
        <v>10.942712090052474</v>
      </c>
      <c r="Q31" s="83">
        <f>O40</f>
        <v>-76.472986768758275</v>
      </c>
      <c r="R31" s="83"/>
      <c r="S31" s="83"/>
      <c r="T31" s="83"/>
      <c r="X31" t="s">
        <v>257</v>
      </c>
      <c r="Y31">
        <f>MOD(X5+V37,24)</f>
        <v>10.999055697594919</v>
      </c>
      <c r="Z31">
        <f>U40</f>
        <v>9.6895400992916922</v>
      </c>
      <c r="AA31">
        <f>AA40</f>
        <v>-79.604958138799802</v>
      </c>
      <c r="AF31" t="s">
        <v>257</v>
      </c>
      <c r="AG31">
        <f>MOD(X5+AD33,24)</f>
        <v>16.804052959875754</v>
      </c>
      <c r="AH31">
        <f>AE40</f>
        <v>9.1024007320045275</v>
      </c>
      <c r="AI31">
        <f>AK40</f>
        <v>-81.068190132072772</v>
      </c>
      <c r="AM31" t="s">
        <v>266</v>
      </c>
      <c r="AQ31" t="s">
        <v>257</v>
      </c>
      <c r="AR31">
        <f>MOD(X5+AP37,24)</f>
        <v>23.448213510670307</v>
      </c>
      <c r="AS31">
        <f>AO40</f>
        <v>10.857835942828423</v>
      </c>
      <c r="AT31">
        <f>AU40</f>
        <v>-76.685518440856512</v>
      </c>
      <c r="AW31" t="s">
        <v>267</v>
      </c>
      <c r="BA31" t="s">
        <v>257</v>
      </c>
      <c r="BB31">
        <f>MOD(X5+AZ37,24)</f>
        <v>10.159336845751739</v>
      </c>
      <c r="BC31">
        <f>AY40</f>
        <v>9.7744724382910384</v>
      </c>
      <c r="BD31">
        <f>BE40</f>
        <v>-79.393084009402386</v>
      </c>
      <c r="BG31" t="s">
        <v>268</v>
      </c>
      <c r="BK31" t="s">
        <v>257</v>
      </c>
      <c r="BL31">
        <f>MOD(X5+BJ37,24)</f>
        <v>22.667305995362558</v>
      </c>
      <c r="BM31">
        <f>BI40</f>
        <v>10.936819880930651</v>
      </c>
      <c r="BN31">
        <f>BO40</f>
        <v>-76.487742971777564</v>
      </c>
      <c r="BQ31" t="s">
        <v>269</v>
      </c>
      <c r="BU31" t="s">
        <v>257</v>
      </c>
      <c r="BV31">
        <f>MOD(X5+BT37,24)</f>
        <v>10.940244361059491</v>
      </c>
      <c r="BW31">
        <f>BS40</f>
        <v>9.6954885001888105</v>
      </c>
      <c r="BX31">
        <f>BY40</f>
        <v>-79.590120898747074</v>
      </c>
    </row>
    <row r="32" spans="1:76" ht="15" hidden="1">
      <c r="A32" s="201" t="s">
        <v>247</v>
      </c>
      <c r="B32" s="201">
        <v>1</v>
      </c>
      <c r="C32" s="83"/>
      <c r="D32" s="83"/>
      <c r="E32" s="83"/>
      <c r="F32" s="83"/>
      <c r="G32" s="83" t="s">
        <v>47</v>
      </c>
      <c r="H32" s="83"/>
      <c r="I32" s="83"/>
      <c r="J32" s="83"/>
      <c r="K32" s="83"/>
      <c r="L32" s="83"/>
      <c r="M32" s="83"/>
      <c r="N32" s="83" t="s">
        <v>258</v>
      </c>
      <c r="O32" s="83">
        <f>MOD(J46+O31,24)</f>
        <v>22.631444914090956</v>
      </c>
      <c r="P32" s="83">
        <f>I49</f>
        <v>10.940447006253319</v>
      </c>
      <c r="Q32" s="83">
        <f>O49</f>
        <v>-76.478659385409443</v>
      </c>
      <c r="R32" s="83"/>
      <c r="S32" s="83" t="s">
        <v>47</v>
      </c>
      <c r="T32" s="83"/>
      <c r="X32" t="s">
        <v>258</v>
      </c>
      <c r="Y32">
        <f>MOD(Y31+V46,24)</f>
        <v>11.205546795133349</v>
      </c>
      <c r="Z32">
        <f>U49</f>
        <v>9.6686548091044049</v>
      </c>
      <c r="AA32">
        <f>AA49</f>
        <v>-79.657050713337355</v>
      </c>
      <c r="AC32" t="s">
        <v>17</v>
      </c>
      <c r="AD32" t="s">
        <v>256</v>
      </c>
      <c r="AF32" t="s">
        <v>258</v>
      </c>
      <c r="AG32">
        <f>MOD(AG31+AE43,24)</f>
        <v>17.130622997879946</v>
      </c>
      <c r="AH32">
        <f>AE46</f>
        <v>9.0693702038534454</v>
      </c>
      <c r="AI32">
        <f>AK46</f>
        <v>-81.150432954227384</v>
      </c>
      <c r="AQ32" t="s">
        <v>258</v>
      </c>
      <c r="AR32">
        <f>MOD(AR31+AP46,24)</f>
        <v>23.485981981853797</v>
      </c>
      <c r="AS32">
        <f>AO49</f>
        <v>10.854015896879709</v>
      </c>
      <c r="AT32">
        <f>AU49</f>
        <v>-76.695082474554496</v>
      </c>
      <c r="BA32" t="s">
        <v>258</v>
      </c>
      <c r="BB32">
        <f>BB31+AZ46</f>
        <v>10.355961378257556</v>
      </c>
      <c r="BC32">
        <f>AY49</f>
        <v>9.754585089788959</v>
      </c>
      <c r="BD32">
        <f>BE49</f>
        <v>-79.442700335357216</v>
      </c>
      <c r="BK32" t="s">
        <v>258</v>
      </c>
      <c r="BL32">
        <f>MOD(BL31+BJ46,24)</f>
        <v>22.691035096299021</v>
      </c>
      <c r="BM32">
        <f>BI49</f>
        <v>10.93441982996066</v>
      </c>
      <c r="BN32">
        <f>BO49</f>
        <v>-76.493753474266654</v>
      </c>
      <c r="BU32" t="s">
        <v>258</v>
      </c>
      <c r="BV32">
        <f>MOD(BV31+BT46,24)</f>
        <v>11.146344913384983</v>
      </c>
      <c r="BW32">
        <f>BS49</f>
        <v>9.6746427112207076</v>
      </c>
      <c r="BX32">
        <f>BY49</f>
        <v>-79.64211588467208</v>
      </c>
    </row>
    <row r="33" spans="1:77" ht="15" hidden="1">
      <c r="A33" s="201" t="s">
        <v>152</v>
      </c>
      <c r="B33" s="201">
        <v>0</v>
      </c>
      <c r="C33" s="83"/>
      <c r="D33" s="83"/>
      <c r="E33" s="83"/>
      <c r="F33" s="83"/>
      <c r="G33" s="83" t="str">
        <f>J10</f>
        <v>Sun</v>
      </c>
      <c r="H33" s="83">
        <f>D31</f>
        <v>17.025239770771677</v>
      </c>
      <c r="I33" s="83">
        <f>IF(K128=1,VLOOKUP(J10,O128:T189,6,FALSE),VLOOKUP(J10,B100:J156,9,FALSE))</f>
        <v>-14.624802388278441</v>
      </c>
      <c r="J33" s="83">
        <f>MOD(IF(K128=1,VLOOKUP(J10,O128:Q190,3,FALSE),MOD(VLOOKUP(J10,B100:I156,8,FALSE)+Q191,360))+X4,360)</f>
        <v>68.939205601863662</v>
      </c>
      <c r="K33" s="83"/>
      <c r="L33" s="83"/>
      <c r="M33" s="83"/>
      <c r="N33" s="83" t="s">
        <v>259</v>
      </c>
      <c r="O33" s="83">
        <f>MOD(O32+J55,24)</f>
        <v>22.631859676304813</v>
      </c>
      <c r="P33" s="83">
        <f>I58</f>
        <v>10.940405055635116</v>
      </c>
      <c r="Q33" s="83">
        <f>O58</f>
        <v>-76.478764445026727</v>
      </c>
      <c r="R33" s="83"/>
      <c r="S33" s="83" t="str">
        <f>J10</f>
        <v>Sun</v>
      </c>
      <c r="T33" s="83">
        <f>H33</f>
        <v>17.025239770771677</v>
      </c>
      <c r="U33">
        <f>I33</f>
        <v>-14.624802388278441</v>
      </c>
      <c r="V33">
        <f>J33</f>
        <v>68.939205601863662</v>
      </c>
      <c r="X33" t="s">
        <v>259</v>
      </c>
      <c r="Y33">
        <f>Y32+V55</f>
        <v>11.20867179387136</v>
      </c>
      <c r="Z33">
        <f>U58</f>
        <v>9.6683387349188532</v>
      </c>
      <c r="AA33">
        <f>AA58</f>
        <v>-79.657839047695234</v>
      </c>
      <c r="AC33">
        <f>V33</f>
        <v>68.939205601863662</v>
      </c>
      <c r="AD33">
        <f>(360-AC33)/15</f>
        <v>19.404052959875756</v>
      </c>
      <c r="AF33" t="s">
        <v>259</v>
      </c>
      <c r="AG33">
        <f>MOD(AG32+AE49,24)</f>
        <v>17.136103773052962</v>
      </c>
      <c r="AH33">
        <f>AE52</f>
        <v>9.0688158575338971</v>
      </c>
      <c r="AI33">
        <f>AK52</f>
        <v>-81.151813157466975</v>
      </c>
      <c r="AM33" t="s">
        <v>264</v>
      </c>
      <c r="AN33" t="s">
        <v>44</v>
      </c>
      <c r="AO33" t="s">
        <v>17</v>
      </c>
      <c r="AQ33" t="s">
        <v>259</v>
      </c>
      <c r="AR33">
        <f>MOD(AR32+AP55,24)</f>
        <v>23.486673290492444</v>
      </c>
      <c r="AS33">
        <f>AO58</f>
        <v>10.853945975310696</v>
      </c>
      <c r="AT33">
        <f>AU58</f>
        <v>-76.695257532090693</v>
      </c>
      <c r="AW33" t="s">
        <v>264</v>
      </c>
      <c r="AX33" t="s">
        <v>44</v>
      </c>
      <c r="AY33" t="s">
        <v>17</v>
      </c>
      <c r="BA33" t="s">
        <v>259</v>
      </c>
      <c r="BB33">
        <f>MOD(BB32+AZ55,24)</f>
        <v>10.358974016044987</v>
      </c>
      <c r="BC33">
        <f>AY58</f>
        <v>9.7542803802146985</v>
      </c>
      <c r="BD33">
        <f>BE58</f>
        <v>-79.443460522428268</v>
      </c>
      <c r="BG33" t="s">
        <v>264</v>
      </c>
      <c r="BH33" t="s">
        <v>44</v>
      </c>
      <c r="BI33" t="s">
        <v>17</v>
      </c>
      <c r="BK33" t="s">
        <v>259</v>
      </c>
      <c r="BL33">
        <f>MOD(BL32+BJ55,24)</f>
        <v>22.691474152705968</v>
      </c>
      <c r="BM33">
        <f>BI58</f>
        <v>10.934375422135931</v>
      </c>
      <c r="BN33">
        <f>BO58</f>
        <v>-76.493864685332554</v>
      </c>
      <c r="BQ33" t="s">
        <v>264</v>
      </c>
      <c r="BR33" t="s">
        <v>44</v>
      </c>
      <c r="BS33" t="s">
        <v>17</v>
      </c>
      <c r="BU33" t="s">
        <v>259</v>
      </c>
      <c r="BV33">
        <f>MOD(BV32+BT55,24)</f>
        <v>11.149467176430033</v>
      </c>
      <c r="BW33">
        <f>BS58</f>
        <v>9.6743269137334824</v>
      </c>
      <c r="BX33">
        <f>BY58</f>
        <v>-79.642903543118976</v>
      </c>
    </row>
    <row r="34" spans="1:77" ht="15" hidden="1">
      <c r="A34" s="201" t="s">
        <v>153</v>
      </c>
      <c r="B34" s="201">
        <v>0</v>
      </c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 t="s">
        <v>261</v>
      </c>
      <c r="O34" s="83">
        <f>MOD(O33+J64,24)</f>
        <v>22.631867357908529</v>
      </c>
      <c r="P34" s="83">
        <f>I67</f>
        <v>10.940404278688678</v>
      </c>
      <c r="Q34" s="83">
        <f>O67</f>
        <v>-76.478766390783235</v>
      </c>
      <c r="R34" s="83"/>
      <c r="S34" s="83"/>
      <c r="T34" s="83"/>
      <c r="X34" t="s">
        <v>261</v>
      </c>
      <c r="Y34">
        <f>MOD(Y33+V64,24)</f>
        <v>11.208719084692154</v>
      </c>
      <c r="Z34">
        <f>U67</f>
        <v>9.6683339517464688</v>
      </c>
      <c r="AA34">
        <f>AA67</f>
        <v>-79.657850977607481</v>
      </c>
      <c r="AF34" t="s">
        <v>261</v>
      </c>
      <c r="AG34">
        <f>MOD(AG33+AE55,24)</f>
        <v>17.136195752077388</v>
      </c>
      <c r="AH34">
        <f>AE58</f>
        <v>9.068806554427665</v>
      </c>
      <c r="AI34">
        <f>AK58</f>
        <v>-81.151836320184344</v>
      </c>
      <c r="AM34">
        <f>AN128</f>
        <v>17.025239770771677</v>
      </c>
      <c r="AN34">
        <f>AR128</f>
        <v>-14.624806066718266</v>
      </c>
      <c r="AO34">
        <f>AP128</f>
        <v>68.94337232683462</v>
      </c>
      <c r="AQ34" t="s">
        <v>260</v>
      </c>
      <c r="AR34">
        <f>AR33</f>
        <v>23.486673290492444</v>
      </c>
      <c r="AS34">
        <f>AS33</f>
        <v>10.853945975310696</v>
      </c>
      <c r="AT34">
        <f>AT33</f>
        <v>-76.695257532090693</v>
      </c>
      <c r="AW34">
        <f>AM34</f>
        <v>17.025239770771677</v>
      </c>
      <c r="AX34">
        <f>AN34</f>
        <v>-14.624806066718266</v>
      </c>
      <c r="AY34">
        <f>AO34</f>
        <v>68.94337232683462</v>
      </c>
      <c r="BA34" t="s">
        <v>261</v>
      </c>
      <c r="BB34">
        <f>BB33+AZ64</f>
        <v>10.359020171990808</v>
      </c>
      <c r="BC34">
        <f>AY67</f>
        <v>9.7542757118278587</v>
      </c>
      <c r="BD34">
        <f>BE67</f>
        <v>-79.443472169077879</v>
      </c>
      <c r="BG34">
        <f>AW34</f>
        <v>17.025239770771677</v>
      </c>
      <c r="BH34">
        <f>AX34</f>
        <v>-14.624806066718266</v>
      </c>
      <c r="BI34">
        <f>AY34</f>
        <v>68.94337232683462</v>
      </c>
      <c r="BK34" t="s">
        <v>260</v>
      </c>
      <c r="BL34">
        <f>BL33</f>
        <v>22.691474152705968</v>
      </c>
      <c r="BM34">
        <f>BM33</f>
        <v>10.934375422135931</v>
      </c>
      <c r="BN34">
        <f>BN33</f>
        <v>-76.493864685332554</v>
      </c>
      <c r="BQ34">
        <f>BG34</f>
        <v>17.025239770771677</v>
      </c>
      <c r="BR34">
        <f>BH34</f>
        <v>-14.624806066718266</v>
      </c>
      <c r="BS34">
        <f>BI34</f>
        <v>68.94337232683462</v>
      </c>
      <c r="BU34" t="s">
        <v>261</v>
      </c>
      <c r="BV34">
        <f>MOD(BV33+BT64,24)</f>
        <v>11.149514473911177</v>
      </c>
      <c r="BW34">
        <f>BS67</f>
        <v>9.6743221298874449</v>
      </c>
      <c r="BX34">
        <f>BY67</f>
        <v>-79.642915474926752</v>
      </c>
    </row>
    <row r="35" spans="1:77" ht="15" hidden="1">
      <c r="A35" s="202" t="s">
        <v>154</v>
      </c>
      <c r="B35" s="201">
        <v>0</v>
      </c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 t="s">
        <v>260</v>
      </c>
      <c r="O35" s="83">
        <f>O34</f>
        <v>22.631867357908529</v>
      </c>
      <c r="P35" s="83">
        <f>P34</f>
        <v>10.940404278688678</v>
      </c>
      <c r="Q35" s="83">
        <f>Q34</f>
        <v>-76.478766390783235</v>
      </c>
      <c r="R35" s="83"/>
      <c r="S35" s="83"/>
      <c r="T35" s="83"/>
      <c r="X35" t="s">
        <v>260</v>
      </c>
      <c r="Y35">
        <f>Y34</f>
        <v>11.208719084692154</v>
      </c>
      <c r="Z35">
        <f>Z34</f>
        <v>9.6683339517464688</v>
      </c>
      <c r="AA35">
        <f>AA34</f>
        <v>-79.657850977607481</v>
      </c>
      <c r="AF35" t="s">
        <v>260</v>
      </c>
      <c r="AG35">
        <f>AG34</f>
        <v>17.136195752077388</v>
      </c>
      <c r="AH35">
        <f>AH34</f>
        <v>9.068806554427665</v>
      </c>
      <c r="AI35">
        <f>AI34</f>
        <v>-81.151836320184344</v>
      </c>
      <c r="BA35" t="s">
        <v>260</v>
      </c>
      <c r="BB35">
        <f>BB34</f>
        <v>10.359020171990808</v>
      </c>
      <c r="BC35">
        <f>BC34</f>
        <v>9.7542757118278587</v>
      </c>
      <c r="BD35">
        <f>BD34</f>
        <v>-79.443472169077879</v>
      </c>
      <c r="BU35" t="s">
        <v>260</v>
      </c>
      <c r="BV35">
        <f>BV34</f>
        <v>11.149514473911177</v>
      </c>
      <c r="BW35">
        <f>BW34</f>
        <v>9.6743221298874449</v>
      </c>
      <c r="BX35">
        <f>BX34</f>
        <v>-79.642915474926752</v>
      </c>
    </row>
    <row r="36" spans="1:77" ht="15" hidden="1">
      <c r="A36" s="202" t="s">
        <v>155</v>
      </c>
      <c r="B36" s="201">
        <v>0</v>
      </c>
      <c r="C36" s="83"/>
      <c r="D36" s="83"/>
      <c r="E36" s="83"/>
      <c r="F36" s="83"/>
      <c r="G36" s="83" t="s">
        <v>17</v>
      </c>
      <c r="H36" s="83" t="s">
        <v>17</v>
      </c>
      <c r="I36" s="83" t="s">
        <v>17</v>
      </c>
      <c r="J36" s="83" t="s">
        <v>256</v>
      </c>
      <c r="K36" s="83"/>
      <c r="L36" s="83"/>
      <c r="M36" s="83"/>
      <c r="N36" s="83"/>
      <c r="O36" s="83"/>
      <c r="P36" s="83"/>
      <c r="Q36" s="83"/>
      <c r="R36" s="83"/>
      <c r="S36" s="83" t="s">
        <v>17</v>
      </c>
      <c r="T36" s="83" t="s">
        <v>17</v>
      </c>
      <c r="U36" t="s">
        <v>17</v>
      </c>
      <c r="V36" t="s">
        <v>256</v>
      </c>
      <c r="AM36" t="s">
        <v>17</v>
      </c>
      <c r="AN36" t="s">
        <v>17</v>
      </c>
      <c r="AO36" t="s">
        <v>17</v>
      </c>
      <c r="AP36" t="s">
        <v>256</v>
      </c>
      <c r="AW36" t="s">
        <v>17</v>
      </c>
      <c r="AX36" t="s">
        <v>17</v>
      </c>
      <c r="AY36" t="s">
        <v>17</v>
      </c>
      <c r="AZ36" t="s">
        <v>256</v>
      </c>
      <c r="BG36" t="s">
        <v>17</v>
      </c>
      <c r="BH36" t="s">
        <v>17</v>
      </c>
      <c r="BI36" t="s">
        <v>17</v>
      </c>
      <c r="BJ36" t="s">
        <v>256</v>
      </c>
      <c r="BQ36" t="s">
        <v>17</v>
      </c>
      <c r="BR36" t="s">
        <v>17</v>
      </c>
      <c r="BS36" t="s">
        <v>17</v>
      </c>
      <c r="BT36" t="s">
        <v>256</v>
      </c>
    </row>
    <row r="37" spans="1:77" ht="15" hidden="1">
      <c r="A37" s="202" t="s">
        <v>156</v>
      </c>
      <c r="B37" s="201">
        <v>0</v>
      </c>
      <c r="C37" s="83"/>
      <c r="D37" s="83"/>
      <c r="E37" s="83"/>
      <c r="F37" s="83"/>
      <c r="G37" s="83">
        <f>DEGREES(ACOS(-TAN(RADIANS(X3))*TAN(RADIANS(I33))))</f>
        <v>87.074958934212532</v>
      </c>
      <c r="H37" s="83">
        <f>IF(G37&lt;J33,360-G37,G37)</f>
        <v>87.074958934212532</v>
      </c>
      <c r="I37" s="83">
        <f>IF(H37&lt;J33,G37+360,H37)</f>
        <v>87.074958934212532</v>
      </c>
      <c r="J37" s="83">
        <f>(I37-J33)/15</f>
        <v>1.2090502221565913</v>
      </c>
      <c r="K37" s="83"/>
      <c r="L37" s="83"/>
      <c r="M37" s="83"/>
      <c r="N37" s="83"/>
      <c r="O37" s="83"/>
      <c r="P37" s="83"/>
      <c r="Q37" s="83"/>
      <c r="R37" s="83"/>
      <c r="S37" s="83">
        <f>G37</f>
        <v>87.074958934212532</v>
      </c>
      <c r="T37" s="83">
        <f>MOD(360-H37,360)</f>
        <v>272.92504106578747</v>
      </c>
      <c r="U37">
        <f>IF(T37&lt;V33,T37+360,T37)</f>
        <v>272.92504106578747</v>
      </c>
      <c r="V37">
        <f>(U37-V33)/15</f>
        <v>13.599055697594922</v>
      </c>
      <c r="AM37">
        <f>DEGREES(ACOS((SIN(RADIANS(-12))-SIN(RADIANS(X3))*SIN(RADIANS(AN34)))/(COS(RADIANS(X3))*COS(RADIANS(AN34)))))</f>
        <v>99.666574986889245</v>
      </c>
      <c r="AN37">
        <f>IF(AM37&lt;AO34,360-AM37,AM37)</f>
        <v>99.666574986889245</v>
      </c>
      <c r="AO37">
        <f>IF(AN37&lt;AO34,AM37+360,AN37)</f>
        <v>99.666574986889245</v>
      </c>
      <c r="AP37">
        <f>(AO37-AO34)/15</f>
        <v>2.0482135106703083</v>
      </c>
      <c r="AW37">
        <f>AM37</f>
        <v>99.666574986889245</v>
      </c>
      <c r="AX37">
        <f>MOD(360-MOD(AO37,360),360)</f>
        <v>260.33342501311074</v>
      </c>
      <c r="AY37">
        <f>IF(AX37&lt;AY34,AX37+360,AX37)</f>
        <v>260.33342501311074</v>
      </c>
      <c r="AZ37">
        <f>(AY37-AY34)/15</f>
        <v>12.759336845751742</v>
      </c>
      <c r="BG37">
        <f>DEGREES(ACOS((SIN(RADIANS(-0.833))-SIN(RADIANS(X3))*SIN(RADIANS(BH34)))/(COS(RADIANS(X3))*COS(RADIANS(BH34)))))</f>
        <v>87.952962257273001</v>
      </c>
      <c r="BH37">
        <f>IF(BG37&lt;BI34,360-BG37,BG37)</f>
        <v>87.952962257273001</v>
      </c>
      <c r="BI37">
        <f>IF(BH37&lt;BI34,BG37+360,BH37)</f>
        <v>87.952962257273001</v>
      </c>
      <c r="BJ37">
        <f>(BI37-BI34)/15</f>
        <v>1.2673059953625587</v>
      </c>
      <c r="BQ37">
        <f>BG37</f>
        <v>87.952962257273001</v>
      </c>
      <c r="BR37">
        <f>MOD(360-MOD(BI37,360),360)</f>
        <v>272.04703774272701</v>
      </c>
      <c r="BS37">
        <f>IF(BR37&lt;BS34,BR37+360,BR37)</f>
        <v>272.04703774272701</v>
      </c>
      <c r="BT37">
        <f>(BS37-BS34)/15</f>
        <v>13.540244361059495</v>
      </c>
    </row>
    <row r="38" spans="1:77" ht="15" hidden="1">
      <c r="A38" s="202" t="s">
        <v>157</v>
      </c>
      <c r="B38" s="201">
        <v>0</v>
      </c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</row>
    <row r="39" spans="1:77" ht="15" hidden="1">
      <c r="A39" s="202" t="s">
        <v>158</v>
      </c>
      <c r="B39" s="201">
        <v>0</v>
      </c>
      <c r="C39" s="83"/>
      <c r="D39" s="83"/>
      <c r="E39" s="83"/>
      <c r="F39" s="83"/>
      <c r="G39" s="83" t="s">
        <v>36</v>
      </c>
      <c r="H39" s="83" t="s">
        <v>34</v>
      </c>
      <c r="I39" s="83" t="s">
        <v>35</v>
      </c>
      <c r="J39" s="83" t="s">
        <v>3</v>
      </c>
      <c r="K39" s="83" t="s">
        <v>4</v>
      </c>
      <c r="L39" s="83" t="s">
        <v>5</v>
      </c>
      <c r="M39" s="83" t="s">
        <v>8</v>
      </c>
      <c r="N39" s="83" t="s">
        <v>6</v>
      </c>
      <c r="O39" s="83" t="s">
        <v>7</v>
      </c>
      <c r="P39" s="83"/>
      <c r="Q39" s="83"/>
      <c r="R39" s="83"/>
      <c r="S39" s="83" t="s">
        <v>36</v>
      </c>
      <c r="T39" s="83" t="s">
        <v>34</v>
      </c>
      <c r="U39" t="s">
        <v>35</v>
      </c>
      <c r="V39" t="s">
        <v>3</v>
      </c>
      <c r="W39" t="s">
        <v>4</v>
      </c>
      <c r="X39" t="s">
        <v>5</v>
      </c>
      <c r="Y39" t="s">
        <v>8</v>
      </c>
      <c r="Z39" t="s">
        <v>6</v>
      </c>
      <c r="AA39" t="s">
        <v>7</v>
      </c>
      <c r="AC39" t="s">
        <v>36</v>
      </c>
      <c r="AD39" t="s">
        <v>34</v>
      </c>
      <c r="AE39" t="s">
        <v>35</v>
      </c>
      <c r="AF39" t="s">
        <v>3</v>
      </c>
      <c r="AG39" t="s">
        <v>4</v>
      </c>
      <c r="AH39" t="s">
        <v>5</v>
      </c>
      <c r="AI39" t="s">
        <v>8</v>
      </c>
      <c r="AJ39" t="s">
        <v>6</v>
      </c>
      <c r="AK39" t="s">
        <v>7</v>
      </c>
      <c r="AM39" t="s">
        <v>36</v>
      </c>
      <c r="AN39" t="s">
        <v>34</v>
      </c>
      <c r="AO39" t="s">
        <v>35</v>
      </c>
      <c r="AP39" t="s">
        <v>3</v>
      </c>
      <c r="AQ39" t="s">
        <v>4</v>
      </c>
      <c r="AR39" t="s">
        <v>5</v>
      </c>
      <c r="AS39" t="s">
        <v>8</v>
      </c>
      <c r="AT39" t="s">
        <v>6</v>
      </c>
      <c r="AU39" t="s">
        <v>7</v>
      </c>
      <c r="AW39" t="s">
        <v>36</v>
      </c>
      <c r="AX39" t="s">
        <v>34</v>
      </c>
      <c r="AY39" t="s">
        <v>35</v>
      </c>
      <c r="AZ39" t="s">
        <v>3</v>
      </c>
      <c r="BA39" t="s">
        <v>4</v>
      </c>
      <c r="BB39" t="s">
        <v>5</v>
      </c>
      <c r="BC39" t="s">
        <v>8</v>
      </c>
      <c r="BD39" t="s">
        <v>6</v>
      </c>
      <c r="BE39" t="s">
        <v>7</v>
      </c>
      <c r="BG39" t="s">
        <v>36</v>
      </c>
      <c r="BH39" t="s">
        <v>34</v>
      </c>
      <c r="BI39" t="s">
        <v>35</v>
      </c>
      <c r="BJ39" t="s">
        <v>3</v>
      </c>
      <c r="BK39" t="s">
        <v>4</v>
      </c>
      <c r="BL39" t="s">
        <v>5</v>
      </c>
      <c r="BM39" t="s">
        <v>8</v>
      </c>
      <c r="BN39" t="s">
        <v>6</v>
      </c>
      <c r="BO39" t="s">
        <v>7</v>
      </c>
      <c r="BQ39" t="s">
        <v>36</v>
      </c>
      <c r="BR39" t="s">
        <v>34</v>
      </c>
      <c r="BS39" t="s">
        <v>35</v>
      </c>
      <c r="BT39" t="s">
        <v>3</v>
      </c>
      <c r="BU39" t="s">
        <v>4</v>
      </c>
      <c r="BV39" t="s">
        <v>5</v>
      </c>
      <c r="BW39" t="s">
        <v>8</v>
      </c>
      <c r="BX39" t="s">
        <v>6</v>
      </c>
      <c r="BY39" t="s">
        <v>7</v>
      </c>
    </row>
    <row r="40" spans="1:77" ht="15" hidden="1">
      <c r="A40" s="202" t="s">
        <v>207</v>
      </c>
      <c r="B40" s="201">
        <v>0</v>
      </c>
      <c r="C40" s="83"/>
      <c r="D40" s="83"/>
      <c r="E40" s="83"/>
      <c r="F40" s="83"/>
      <c r="G40" s="83">
        <f>J37*J8*COS(RADIANS(J6))/60</f>
        <v>-0.12228790994752482</v>
      </c>
      <c r="H40" s="83">
        <f>X3</f>
        <v>11.065</v>
      </c>
      <c r="I40" s="83">
        <f>G40+H40</f>
        <v>10.942712090052474</v>
      </c>
      <c r="J40" s="83">
        <f>LOG(POWER((1-0.082490633*SIN(RADIANS(H40)))/(1+0.082490633*SIN(RADIANS(H40))),(0.082490633/2))*TAN(RADIANS((45+H40/2))))*7915.70447</f>
        <v>663.5756678995017</v>
      </c>
      <c r="K40" s="83">
        <f>LOG(POWER((1-0.082490633*SIN(RADIANS(I40)))/(1+0.082490633*SIN(RADIANS(I40))),(0.082490633/2))*TAN(RADIANS((45+I40/2))))*7915.70447</f>
        <v>656.14998661477114</v>
      </c>
      <c r="L40" s="83">
        <f>K40-J40</f>
        <v>-7.4256812847305582</v>
      </c>
      <c r="M40" s="83">
        <f>L40*TAN(RADIANS(J6))/60</f>
        <v>-0.30632010209160032</v>
      </c>
      <c r="N40" s="83">
        <f>X4</f>
        <v>-76.166666666666671</v>
      </c>
      <c r="O40" s="83">
        <f>M40+N40</f>
        <v>-76.472986768758275</v>
      </c>
      <c r="P40" s="83"/>
      <c r="Q40" s="83"/>
      <c r="R40" s="83"/>
      <c r="S40" s="83">
        <f>V37*J8*COS(RADIANS(J6))/60</f>
        <v>-1.3754599007083073</v>
      </c>
      <c r="T40" s="83">
        <f>X3</f>
        <v>11.065</v>
      </c>
      <c r="U40">
        <f>S40+T40</f>
        <v>9.6895400992916922</v>
      </c>
      <c r="V40">
        <f>LOG(POWER((1-0.082490633*SIN(RADIANS(T40)))/(1+0.082490633*SIN(RADIANS(T40))),(0.082490633/2))*TAN(RADIANS((45+T40/2))))*7915.70447</f>
        <v>663.5756678995017</v>
      </c>
      <c r="W40">
        <f>LOG(POWER((1-0.082490633*SIN(RADIANS(U40)))/(1+0.082490633*SIN(RADIANS(U40))),(0.082490633/2))*TAN(RADIANS((45+U40/2))))*7915.70447</f>
        <v>580.22607229107246</v>
      </c>
      <c r="X40">
        <f>W40-V40</f>
        <v>-83.34959560842924</v>
      </c>
      <c r="Y40">
        <f>X40*TAN(RADIANS(J6))/60</f>
        <v>-3.4382914721331277</v>
      </c>
      <c r="Z40">
        <f>X4</f>
        <v>-76.166666666666671</v>
      </c>
      <c r="AA40">
        <f>Y40+Z40</f>
        <v>-79.604958138799802</v>
      </c>
      <c r="AC40">
        <f>AD33*J8*COS(RADIANS(J6))/60</f>
        <v>-1.9625992679954718</v>
      </c>
      <c r="AD40">
        <f>X3</f>
        <v>11.065</v>
      </c>
      <c r="AE40">
        <f>AC40+AD40</f>
        <v>9.1024007320045275</v>
      </c>
      <c r="AF40">
        <f>LOG(POWER((1-0.082490633*SIN(RADIANS(AD40)))/(1+0.082490633*SIN(RADIANS(AD40))),(0.082490633/2))*TAN(RADIANS((45+AD40/2))))*7915.70447</f>
        <v>663.5756678995017</v>
      </c>
      <c r="AG40">
        <f>LOG(POWER((1-0.082490633*SIN(RADIANS(AE40)))/(1+0.082490633*SIN(RADIANS(AE40))),(0.082490633/2))*TAN(RADIANS((45+AE40/2))))*7915.70447</f>
        <v>544.75502630527239</v>
      </c>
      <c r="AH40">
        <f>AG40-AF40</f>
        <v>-118.8206415942293</v>
      </c>
      <c r="AI40">
        <f>AH40*TAN(RADIANS(J6))/60</f>
        <v>-4.9015234654061031</v>
      </c>
      <c r="AJ40">
        <f>X4</f>
        <v>-76.166666666666671</v>
      </c>
      <c r="AK40">
        <f>AI40+AJ40</f>
        <v>-81.068190132072772</v>
      </c>
      <c r="AM40">
        <f>AP37*J8*COS(RADIANS(J6))/60</f>
        <v>-0.20716405717157563</v>
      </c>
      <c r="AN40">
        <f>X3</f>
        <v>11.065</v>
      </c>
      <c r="AO40">
        <f>AM40+AN40</f>
        <v>10.857835942828423</v>
      </c>
      <c r="AP40">
        <f>LOG(POWER((1-0.082490633*SIN(RADIANS(AN40)))/(1+0.082490633*SIN(RADIANS(AN40))),(0.082490633/2))*TAN(RADIANS((45+AN40/2))))*7915.70447</f>
        <v>663.5756678995017</v>
      </c>
      <c r="AQ40">
        <f>LOG(POWER((1-0.082490633*SIN(RADIANS(AO40)))/(1+0.082490633*SIN(RADIANS(AO40))),(0.082490633/2))*TAN(RADIANS((45+AO40/2))))*7915.70447</f>
        <v>650.99788445387389</v>
      </c>
      <c r="AR40">
        <f>AQ40-AP40</f>
        <v>-12.577783445627801</v>
      </c>
      <c r="AS40">
        <f>AR40*TAN(RADIANS(J6))/60</f>
        <v>-0.51885177418984108</v>
      </c>
      <c r="AT40">
        <f>X4</f>
        <v>-76.166666666666671</v>
      </c>
      <c r="AU40">
        <f>AS40+AT40</f>
        <v>-76.685518440856512</v>
      </c>
      <c r="AW40">
        <f>AZ37*J8*COS(RADIANS(J6))/60</f>
        <v>-1.2905275617089618</v>
      </c>
      <c r="AX40">
        <f>AN40</f>
        <v>11.065</v>
      </c>
      <c r="AY40">
        <f>AW40+AX40</f>
        <v>9.7744724382910384</v>
      </c>
      <c r="AZ40">
        <f>LOG(POWER((1-0.082490633*SIN(RADIANS(AX40)))/(1+0.082490633*SIN(RADIANS(AX40))),(0.082490633/2))*TAN(RADIANS((45+AX40/2))))*7915.70447</f>
        <v>663.5756678995017</v>
      </c>
      <c r="BA40">
        <f>LOG(POWER((1-0.082490633*SIN(RADIANS(AY40)))/(1+0.082490633*SIN(RADIANS(AY40))),(0.082490633/2))*TAN(RADIANS((45+AY40/2))))*7915.70447</f>
        <v>585.36223458222526</v>
      </c>
      <c r="BB40">
        <f>BA40-AZ40</f>
        <v>-78.21343331727644</v>
      </c>
      <c r="BC40">
        <f>BB40*TAN(RADIANS(J6))/60</f>
        <v>-3.2264173427357146</v>
      </c>
      <c r="BD40">
        <f>AT40</f>
        <v>-76.166666666666671</v>
      </c>
      <c r="BE40">
        <f>BC40+BD40</f>
        <v>-79.393084009402386</v>
      </c>
      <c r="BG40">
        <f>BJ37*J8*COS(RADIANS(J6))/60</f>
        <v>-0.12818011906934912</v>
      </c>
      <c r="BH40">
        <f>AX40</f>
        <v>11.065</v>
      </c>
      <c r="BI40">
        <f>BG40+BH40</f>
        <v>10.936819880930651</v>
      </c>
      <c r="BJ40">
        <f>LOG(POWER((1-0.082490633*SIN(RADIANS(BH40)))/(1+0.082490633*SIN(RADIANS(BH40))),(0.082490633/2))*TAN(RADIANS((45+BH40/2))))*7915.70447</f>
        <v>663.5756678995017</v>
      </c>
      <c r="BK40">
        <f>LOG(POWER((1-0.082490633*SIN(RADIANS(BI40)))/(1+0.082490633*SIN(RADIANS(BI40))),(0.082490633/2))*TAN(RADIANS((45+BI40/2))))*7915.70447</f>
        <v>655.79227303395862</v>
      </c>
      <c r="BL40">
        <f>BK40-BJ40</f>
        <v>-7.7833948655430731</v>
      </c>
      <c r="BM40">
        <f>BL40*TAN(RADIANS(J6))/60</f>
        <v>-0.32107630511089236</v>
      </c>
      <c r="BN40">
        <f>BD40</f>
        <v>-76.166666666666671</v>
      </c>
      <c r="BO40">
        <f>BM40+BN40</f>
        <v>-76.487742971777564</v>
      </c>
      <c r="BQ40">
        <f>BT37*J8*COS(RADIANS(J6))/60</f>
        <v>-1.3695114998111886</v>
      </c>
      <c r="BR40">
        <f>BH40</f>
        <v>11.065</v>
      </c>
      <c r="BS40">
        <f>BQ40+BR40</f>
        <v>9.6954885001888105</v>
      </c>
      <c r="BT40">
        <f>LOG(POWER((1-0.082490633*SIN(RADIANS(BR40)))/(1+0.082490633*SIN(RADIANS(BR40))),(0.082490633/2))*TAN(RADIANS((45+BR40/2))))*7915.70447</f>
        <v>663.5756678995017</v>
      </c>
      <c r="BU40">
        <f>LOG(POWER((1-0.082490633*SIN(RADIANS(BS40)))/(1+0.082490633*SIN(RADIANS(BS40))),(0.082490633/2))*TAN(RADIANS((45+BS40/2))))*7915.70447</f>
        <v>580.58575033709121</v>
      </c>
      <c r="BV40">
        <f>BU40-BT40</f>
        <v>-82.989917562410483</v>
      </c>
      <c r="BW40">
        <f>BV40*TAN(RADIANS(J6))/60</f>
        <v>-3.4234542320804029</v>
      </c>
      <c r="BX40">
        <f>BN40</f>
        <v>-76.166666666666671</v>
      </c>
      <c r="BY40">
        <f>BW40+BX40</f>
        <v>-79.590120898747074</v>
      </c>
    </row>
    <row r="41" spans="1:77" ht="15" hidden="1">
      <c r="A41" s="202" t="s">
        <v>159</v>
      </c>
      <c r="B41" s="201">
        <v>0</v>
      </c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</row>
    <row r="42" spans="1:77" ht="15" hidden="1">
      <c r="A42" s="202" t="s">
        <v>160</v>
      </c>
      <c r="B42" s="201">
        <v>0</v>
      </c>
      <c r="C42" s="83"/>
      <c r="D42" s="83"/>
      <c r="E42" s="83"/>
      <c r="F42" s="83"/>
      <c r="G42" s="83" t="s">
        <v>47</v>
      </c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 t="s">
        <v>47</v>
      </c>
      <c r="T42" s="83"/>
      <c r="AC42" t="s">
        <v>47</v>
      </c>
      <c r="AD42" t="s">
        <v>17</v>
      </c>
      <c r="AE42" t="s">
        <v>256</v>
      </c>
      <c r="AM42" t="s">
        <v>264</v>
      </c>
      <c r="AN42" t="s">
        <v>44</v>
      </c>
      <c r="AO42" t="s">
        <v>17</v>
      </c>
      <c r="AW42" t="s">
        <v>264</v>
      </c>
      <c r="AX42" t="s">
        <v>44</v>
      </c>
      <c r="AY42" t="s">
        <v>17</v>
      </c>
      <c r="BG42" t="s">
        <v>264</v>
      </c>
      <c r="BH42" t="s">
        <v>44</v>
      </c>
      <c r="BI42" t="s">
        <v>17</v>
      </c>
      <c r="BQ42" t="s">
        <v>264</v>
      </c>
      <c r="BR42" t="s">
        <v>44</v>
      </c>
      <c r="BS42" t="s">
        <v>17</v>
      </c>
    </row>
    <row r="43" spans="1:77" ht="15" hidden="1">
      <c r="A43" s="202" t="s">
        <v>161</v>
      </c>
      <c r="B43" s="201">
        <v>0</v>
      </c>
      <c r="C43" s="83"/>
      <c r="D43" s="83"/>
      <c r="E43" s="83"/>
      <c r="F43" s="83"/>
      <c r="G43" s="83" t="str">
        <f>J10</f>
        <v>Sun</v>
      </c>
      <c r="H43" s="83">
        <f>DEGREES(ASIN(SIN(RADIANS(P31))*SIN(RADIANS(I43))+COS(RADIANS(P31))*COS(RADIANS(I43))*COS(RADIANS(J43))))</f>
        <v>0.31864855152333682</v>
      </c>
      <c r="I43" s="83">
        <f>IF(K128=1,VLOOKUP(J10,O128:V190,8,FALSE),VLOOKUP(J10,B100:J156,9,FALSE))</f>
        <v>-14.64080810080409</v>
      </c>
      <c r="J43" s="83">
        <f>MOD(IF(K128=1,VLOOKUP(J10,O128:S190,5,FALSE),MOD(VLOOKUP(J10,B100:I156,8,FALSE)+S191,360))+Q31,360)</f>
        <v>86.768888217157681</v>
      </c>
      <c r="K43" s="83"/>
      <c r="L43" s="83"/>
      <c r="M43" s="83"/>
      <c r="N43" s="83"/>
      <c r="O43" s="83"/>
      <c r="P43" s="83"/>
      <c r="Q43" s="83"/>
      <c r="R43" s="83"/>
      <c r="S43" s="83" t="str">
        <f>J10</f>
        <v>Sun</v>
      </c>
      <c r="T43" s="83">
        <f>DEGREES(ASIN(SIN(RADIANS(Z31))*SIN(RADIANS(U43))+COS(RADIANS(Z31))*COS(RADIANS(U43))*COS(RADIANS(V43))))</f>
        <v>-2.952290764610515</v>
      </c>
      <c r="U43">
        <f>IF(K128=1,VLOOKUP(J10,BN128:BP133,3,FALSE),VLOOKUP(J10,B100:J156,9,FALSE))</f>
        <v>-14.804251212494231</v>
      </c>
      <c r="V43">
        <f>MOD(IF(K128=1,VLOOKUP(J10,BN128:BP133,2,FALSE),MOD(VLOOKUP(J10,B100:I156,8,FALSE)+V106,360))+AA31,360)</f>
        <v>269.48906371222415</v>
      </c>
      <c r="AC43" t="str">
        <f>J10</f>
        <v>Sun</v>
      </c>
      <c r="AD43">
        <f>MOD(IF(K128=1,VLOOKUP(J10,BN128:BX133,10,FALSE),MOD(VLOOKUP(J10,B100:I156,8,FALSE)+V110,360))+AI31,360)</f>
        <v>355.10144942993713</v>
      </c>
      <c r="AE43">
        <f>IF((360-AD43)&gt;180,(0-AD43)/15,(360-AD43)/15)</f>
        <v>0.3265700380041911</v>
      </c>
      <c r="AM43">
        <f>DEGREES(ASIN(SIN(RADIANS(AS31))*SIN(RADIANS(AN43))+COS(RADIANS(AS31))*COS(RADIANS(AN43))*COS(RADIANS(AO43))))</f>
        <v>-11.457654858493415</v>
      </c>
      <c r="AN43">
        <f>AC114</f>
        <v>-14.651911278076415</v>
      </c>
      <c r="AO43">
        <f>MOD(AH114+AT31,360)</f>
        <v>99.143973963853696</v>
      </c>
      <c r="AW43">
        <f>DEGREES(ASIN(SIN(RADIANS(BC31))*SIN(RADIANS(AX43))+COS(RADIANS(BC31))*COS(RADIANS(AX43))*COS(RADIANS(AY43))))</f>
        <v>-14.831825976499571</v>
      </c>
      <c r="AX43">
        <f>AC117</f>
        <v>-14.793207529581723</v>
      </c>
      <c r="AY43">
        <f>MOD(AH117+BD31,360)</f>
        <v>257.10504343960906</v>
      </c>
      <c r="BG43">
        <f>DEGREES(ASIN(SIN(RADIANS(BM31))*SIN(RADIANS(BH43))+COS(RADIANS(BM31))*COS(RADIANS(BH43))*COS(RADIANS(BI43))))</f>
        <v>-0.4951023476290794</v>
      </c>
      <c r="BH43">
        <f>AC121</f>
        <v>-14.641579053034416</v>
      </c>
      <c r="BI43">
        <f>MOD(AH121+BN31,360)</f>
        <v>87.62798041335013</v>
      </c>
      <c r="BQ43">
        <f>DEGREES(ASIN(SIN(RADIANS(BW31))*SIN(RADIANS(BR43))+COS(RADIANS(BW31))*COS(RADIANS(BR43))*COS(RADIANS(BS43))))</f>
        <v>-3.7815489306976642</v>
      </c>
      <c r="BR43">
        <f>AC124</f>
        <v>-14.80347790612773</v>
      </c>
      <c r="BS43">
        <f>MOD(AH124+BX31,360)</f>
        <v>268.62172322054062</v>
      </c>
    </row>
    <row r="44" spans="1:77" ht="15" hidden="1">
      <c r="A44" s="202" t="s">
        <v>162</v>
      </c>
      <c r="B44" s="201">
        <v>0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</row>
    <row r="45" spans="1:77" ht="15" hidden="1">
      <c r="A45" s="202" t="s">
        <v>163</v>
      </c>
      <c r="B45" s="201">
        <v>0</v>
      </c>
      <c r="C45" s="83"/>
      <c r="D45" s="83"/>
      <c r="E45" s="83"/>
      <c r="F45" s="83"/>
      <c r="G45" s="83" t="s">
        <v>17</v>
      </c>
      <c r="H45" s="83" t="s">
        <v>17</v>
      </c>
      <c r="I45" s="83" t="s">
        <v>17</v>
      </c>
      <c r="J45" s="83" t="s">
        <v>256</v>
      </c>
      <c r="K45" s="83"/>
      <c r="L45" s="83"/>
      <c r="M45" s="83"/>
      <c r="N45" s="83"/>
      <c r="O45" s="83"/>
      <c r="P45" s="83"/>
      <c r="Q45" s="83"/>
      <c r="R45" s="83"/>
      <c r="S45" s="83" t="s">
        <v>17</v>
      </c>
      <c r="T45" s="83" t="s">
        <v>17</v>
      </c>
      <c r="U45" t="s">
        <v>17</v>
      </c>
      <c r="V45" t="s">
        <v>256</v>
      </c>
      <c r="AC45" t="s">
        <v>36</v>
      </c>
      <c r="AD45" t="s">
        <v>34</v>
      </c>
      <c r="AE45" t="s">
        <v>35</v>
      </c>
      <c r="AF45" t="s">
        <v>3</v>
      </c>
      <c r="AG45" t="s">
        <v>4</v>
      </c>
      <c r="AH45" t="s">
        <v>5</v>
      </c>
      <c r="AI45" t="s">
        <v>8</v>
      </c>
      <c r="AJ45" t="s">
        <v>6</v>
      </c>
      <c r="AK45" t="s">
        <v>7</v>
      </c>
      <c r="AM45" t="s">
        <v>17</v>
      </c>
      <c r="AN45" t="s">
        <v>17</v>
      </c>
      <c r="AO45" t="s">
        <v>17</v>
      </c>
      <c r="AP45" t="s">
        <v>256</v>
      </c>
      <c r="AW45" t="s">
        <v>17</v>
      </c>
      <c r="AX45" t="s">
        <v>17</v>
      </c>
      <c r="AY45" t="s">
        <v>17</v>
      </c>
      <c r="AZ45" t="s">
        <v>256</v>
      </c>
      <c r="BG45" t="s">
        <v>17</v>
      </c>
      <c r="BH45" t="s">
        <v>17</v>
      </c>
      <c r="BI45" t="s">
        <v>17</v>
      </c>
      <c r="BJ45" t="s">
        <v>256</v>
      </c>
      <c r="BQ45" t="s">
        <v>17</v>
      </c>
      <c r="BR45" t="s">
        <v>17</v>
      </c>
      <c r="BS45" t="s">
        <v>17</v>
      </c>
      <c r="BT45" t="s">
        <v>256</v>
      </c>
    </row>
    <row r="46" spans="1:77" ht="15" hidden="1">
      <c r="A46" s="202" t="s">
        <v>164</v>
      </c>
      <c r="B46" s="201">
        <v>0</v>
      </c>
      <c r="C46" s="83"/>
      <c r="D46" s="83"/>
      <c r="E46" s="83"/>
      <c r="F46" s="83"/>
      <c r="G46" s="83">
        <f>DEGREES(ACOS(-TAN(RADIANS(P31))*TAN(RADIANS(I43))))</f>
        <v>87.104808596173186</v>
      </c>
      <c r="H46" s="83">
        <f>IF(ABS(G46-J43)&gt;90,360-G46,G46)</f>
        <v>87.104808596173186</v>
      </c>
      <c r="I46" s="83">
        <f>MOD(IF(ABS(H46-J43)&gt;90,H46+180,H46),360)</f>
        <v>87.104808596173186</v>
      </c>
      <c r="J46" s="83">
        <f>(I46-J43)/15</f>
        <v>2.2394691934366998E-2</v>
      </c>
      <c r="K46" s="83"/>
      <c r="L46" s="83"/>
      <c r="M46" s="83"/>
      <c r="N46" s="83"/>
      <c r="O46" s="83"/>
      <c r="P46" s="83"/>
      <c r="Q46" s="83"/>
      <c r="R46" s="83"/>
      <c r="S46" s="83">
        <f>DEGREES(ACOS(-TAN(RADIANS(Z31))*TAN(RADIANS(U43))))</f>
        <v>87.413569824699408</v>
      </c>
      <c r="T46" s="83">
        <f>MOD(IF(ABS(S46-I46)&lt;90,360-S46,S46),360)</f>
        <v>272.58643017530062</v>
      </c>
      <c r="U46">
        <f>T46</f>
        <v>272.58643017530062</v>
      </c>
      <c r="V46">
        <f>(U46-V43)/15</f>
        <v>0.20649109753843126</v>
      </c>
      <c r="AC46">
        <f>AE43*J8*COS(RADIANS(J6))/60</f>
        <v>-3.3030528151082858E-2</v>
      </c>
      <c r="AD46">
        <f>AH31</f>
        <v>9.1024007320045275</v>
      </c>
      <c r="AE46">
        <f>AC46+AD46</f>
        <v>9.0693702038534454</v>
      </c>
      <c r="AF46">
        <f>LOG(POWER((1-0.082490633*SIN(RADIANS(AD46)))/(1+0.082490633*SIN(RADIANS(AD46))),(0.082490633/2))*TAN(RADIANS((45+AD46/2))))*7915.70447</f>
        <v>544.75502630527239</v>
      </c>
      <c r="AG46">
        <f>LOG(POWER((1-0.082490633*SIN(RADIANS(AE46)))/(1+0.082490633*SIN(RADIANS(AE46))),(0.082490633/2))*TAN(RADIANS((45+AE46/2))))*7915.70447</f>
        <v>542.76133088304277</v>
      </c>
      <c r="AH46">
        <f>AG46-AF46</f>
        <v>-1.9936954222296208</v>
      </c>
      <c r="AI46">
        <f>AH46*TAN(RADIANS(J6))/60</f>
        <v>-8.2242822154613024E-2</v>
      </c>
      <c r="AJ46">
        <f>AI31</f>
        <v>-81.068190132072772</v>
      </c>
      <c r="AK46">
        <f>AI46+AJ46</f>
        <v>-81.150432954227384</v>
      </c>
      <c r="AM46">
        <f>DEGREES(ACOS((SIN(RADIANS(-12))-SIN(RADIANS(AS31))*SIN(RADIANS(AN43)))/(COS(RADIANS(AS31))*COS(RADIANS(AN43)))))</f>
        <v>99.710501031606043</v>
      </c>
      <c r="AN46">
        <f>IF(ABS(AM46-AO43)&gt;90,360-AM46,AM46)</f>
        <v>99.710501031606043</v>
      </c>
      <c r="AO46">
        <f>MOD(IF(ABS(AN46-AO43)&gt;90,AN46+180,AN46),360)</f>
        <v>99.710501031606043</v>
      </c>
      <c r="AP46">
        <f>(AO46-AO43)/15</f>
        <v>3.7768471183489777E-2</v>
      </c>
      <c r="AW46">
        <f>DEGREES(ACOS((SIN(RADIANS(-12))-SIN(RADIANS(BC31))*SIN(RADIANS(AX43)))/(COS(RADIANS(BC31))*COS(RADIANS(AX43)))))</f>
        <v>99.945588572803644</v>
      </c>
      <c r="AX46">
        <f>MOD(IF(ABS(AW46-AO46)&lt;90,360-AW46,AW46),360)</f>
        <v>260.05441142719633</v>
      </c>
      <c r="AY46">
        <f>AX46</f>
        <v>260.05441142719633</v>
      </c>
      <c r="AZ46">
        <f>(AY46-AY43)/15</f>
        <v>0.19662453250581771</v>
      </c>
      <c r="BG46">
        <f>DEGREES(ACOS((SIN(RADIANS(-0.833))-SIN(RADIANS(BM31))*SIN(RADIANS(BH43)))/(COS(RADIANS(BM31))*COS(RADIANS(BH43)))))</f>
        <v>87.983916927397075</v>
      </c>
      <c r="BH46">
        <f>IF(ABS(BG46-BI43)&gt;90,360-BG46,BG46)</f>
        <v>87.983916927397075</v>
      </c>
      <c r="BI46">
        <f>MOD(IF(ABS(BH46-BI43)&gt;90,BH46+180,BH46),360)</f>
        <v>87.983916927397075</v>
      </c>
      <c r="BJ46">
        <f>(BI46-BI43)/15</f>
        <v>2.3729100936463018E-2</v>
      </c>
      <c r="BQ46">
        <f>DEGREES(ACOS((SIN(RADIANS(-0.833))-SIN(RADIANS(BW31))*SIN(RADIANS(BR43)))/(COS(RADIANS(BW31))*COS(RADIANS(BR43)))))</f>
        <v>88.286768494577046</v>
      </c>
      <c r="BR46">
        <f>MOD(IF(ABS(BQ46-BI46)&lt;90,360-BQ46,BQ46),360)</f>
        <v>271.71323150542298</v>
      </c>
      <c r="BS46">
        <f>BR46</f>
        <v>271.71323150542298</v>
      </c>
      <c r="BT46">
        <f>(BS46-BS43)/15</f>
        <v>0.20610055232549104</v>
      </c>
    </row>
    <row r="47" spans="1:77" ht="15" hidden="1">
      <c r="A47" s="202" t="s">
        <v>165</v>
      </c>
      <c r="B47" s="201">
        <v>0</v>
      </c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</row>
    <row r="48" spans="1:77" ht="15" hidden="1">
      <c r="A48" s="202" t="s">
        <v>166</v>
      </c>
      <c r="B48" s="201">
        <v>0</v>
      </c>
      <c r="C48" s="83"/>
      <c r="D48" s="83"/>
      <c r="E48" s="83"/>
      <c r="F48" s="83"/>
      <c r="G48" s="83" t="s">
        <v>36</v>
      </c>
      <c r="H48" s="83" t="s">
        <v>34</v>
      </c>
      <c r="I48" s="83" t="s">
        <v>35</v>
      </c>
      <c r="J48" s="83" t="s">
        <v>3</v>
      </c>
      <c r="K48" s="83" t="s">
        <v>4</v>
      </c>
      <c r="L48" s="83" t="s">
        <v>5</v>
      </c>
      <c r="M48" s="83" t="s">
        <v>8</v>
      </c>
      <c r="N48" s="83" t="s">
        <v>6</v>
      </c>
      <c r="O48" s="83" t="s">
        <v>7</v>
      </c>
      <c r="P48" s="83"/>
      <c r="Q48" s="83"/>
      <c r="R48" s="83"/>
      <c r="S48" s="83" t="s">
        <v>36</v>
      </c>
      <c r="T48" s="83" t="s">
        <v>34</v>
      </c>
      <c r="U48" t="s">
        <v>35</v>
      </c>
      <c r="V48" t="s">
        <v>3</v>
      </c>
      <c r="W48" t="s">
        <v>4</v>
      </c>
      <c r="X48" t="s">
        <v>5</v>
      </c>
      <c r="Y48" t="s">
        <v>8</v>
      </c>
      <c r="Z48" t="s">
        <v>6</v>
      </c>
      <c r="AA48" t="s">
        <v>7</v>
      </c>
      <c r="AC48" t="s">
        <v>47</v>
      </c>
      <c r="AD48" t="s">
        <v>17</v>
      </c>
      <c r="AE48" t="s">
        <v>256</v>
      </c>
      <c r="AM48" t="s">
        <v>36</v>
      </c>
      <c r="AN48" t="s">
        <v>34</v>
      </c>
      <c r="AO48" t="s">
        <v>35</v>
      </c>
      <c r="AP48" t="s">
        <v>3</v>
      </c>
      <c r="AQ48" t="s">
        <v>4</v>
      </c>
      <c r="AR48" t="s">
        <v>5</v>
      </c>
      <c r="AS48" t="s">
        <v>8</v>
      </c>
      <c r="AT48" t="s">
        <v>6</v>
      </c>
      <c r="AU48" t="s">
        <v>7</v>
      </c>
      <c r="AW48" t="s">
        <v>36</v>
      </c>
      <c r="AX48" t="s">
        <v>34</v>
      </c>
      <c r="AY48" t="s">
        <v>35</v>
      </c>
      <c r="AZ48" t="s">
        <v>3</v>
      </c>
      <c r="BA48" t="s">
        <v>4</v>
      </c>
      <c r="BB48" t="s">
        <v>5</v>
      </c>
      <c r="BC48" t="s">
        <v>8</v>
      </c>
      <c r="BD48" t="s">
        <v>6</v>
      </c>
      <c r="BE48" t="s">
        <v>7</v>
      </c>
      <c r="BG48" t="s">
        <v>36</v>
      </c>
      <c r="BH48" t="s">
        <v>34</v>
      </c>
      <c r="BI48" t="s">
        <v>35</v>
      </c>
      <c r="BJ48" t="s">
        <v>3</v>
      </c>
      <c r="BK48" t="s">
        <v>4</v>
      </c>
      <c r="BL48" t="s">
        <v>5</v>
      </c>
      <c r="BM48" t="s">
        <v>8</v>
      </c>
      <c r="BN48" t="s">
        <v>6</v>
      </c>
      <c r="BO48" t="s">
        <v>7</v>
      </c>
      <c r="BQ48" t="s">
        <v>36</v>
      </c>
      <c r="BR48" t="s">
        <v>34</v>
      </c>
      <c r="BS48" t="s">
        <v>35</v>
      </c>
      <c r="BT48" t="s">
        <v>3</v>
      </c>
      <c r="BU48" t="s">
        <v>4</v>
      </c>
      <c r="BV48" t="s">
        <v>5</v>
      </c>
      <c r="BW48" t="s">
        <v>8</v>
      </c>
      <c r="BX48" t="s">
        <v>6</v>
      </c>
      <c r="BY48" t="s">
        <v>7</v>
      </c>
    </row>
    <row r="49" spans="1:77" ht="15" hidden="1">
      <c r="A49" s="202" t="s">
        <v>167</v>
      </c>
      <c r="B49" s="201">
        <v>0</v>
      </c>
      <c r="C49" s="83"/>
      <c r="D49" s="83"/>
      <c r="E49" s="83"/>
      <c r="F49" s="83"/>
      <c r="G49" s="83">
        <f>J46*J8*COS(RADIANS(J6))/60</f>
        <v>-2.2650837991556477E-3</v>
      </c>
      <c r="H49" s="83">
        <f>P31</f>
        <v>10.942712090052474</v>
      </c>
      <c r="I49" s="83">
        <f>G49+H49</f>
        <v>10.940447006253319</v>
      </c>
      <c r="J49" s="83">
        <f>LOG(POWER((1-0.082490633*SIN(RADIANS(H49)))/(1+0.082490633*SIN(RADIANS(H49))),(0.082490633/2))*TAN(RADIANS((45+H49/2))))*7915.70447</f>
        <v>656.14998661477114</v>
      </c>
      <c r="K49" s="83">
        <f>LOG(POWER((1-0.082490633*SIN(RADIANS(I49)))/(1+0.082490633*SIN(RADIANS(I49))),(0.082490633/2))*TAN(RADIANS((45+I49/2))))*7915.70447</f>
        <v>656.01247346100024</v>
      </c>
      <c r="L49" s="83">
        <f>K49-J49</f>
        <v>-0.13751315377089668</v>
      </c>
      <c r="M49" s="83">
        <f>L49*TAN(RADIANS(J6))/60</f>
        <v>-5.6726166511693269E-3</v>
      </c>
      <c r="N49" s="83">
        <f>Q31</f>
        <v>-76.472986768758275</v>
      </c>
      <c r="O49" s="83">
        <f>M49+N49</f>
        <v>-76.478659385409443</v>
      </c>
      <c r="P49" s="83"/>
      <c r="Q49" s="83"/>
      <c r="R49" s="83"/>
      <c r="S49" s="83">
        <f>V46*J8*COS(RADIANS(J6))/60</f>
        <v>-2.0885290187287842E-2</v>
      </c>
      <c r="T49" s="83">
        <f>Z31</f>
        <v>9.6895400992916922</v>
      </c>
      <c r="U49">
        <f>S49+T49</f>
        <v>9.6686548091044049</v>
      </c>
      <c r="V49">
        <f>LOG(POWER((1-0.082490633*SIN(RADIANS(T49)))/(1+0.082490633*SIN(RADIANS(T49))),(0.082490633/2))*TAN(RADIANS((45+T49/2))))*7915.70447</f>
        <v>580.22607229107246</v>
      </c>
      <c r="W49">
        <f>LOG(POWER((1-0.082490633*SIN(RADIANS(U49)))/(1+0.082490633*SIN(RADIANS(U49))),(0.082490633/2))*TAN(RADIANS((45+U49/2))))*7915.70447</f>
        <v>578.96326631400586</v>
      </c>
      <c r="X49">
        <f>W49-V49</f>
        <v>-1.2628059770665914</v>
      </c>
      <c r="Y49">
        <f>X49*TAN(RADIANS(J6))/60</f>
        <v>-5.2092574537550639E-2</v>
      </c>
      <c r="Z49">
        <f>AA31</f>
        <v>-79.604958138799802</v>
      </c>
      <c r="AA49">
        <f>Y49+Z49</f>
        <v>-79.657050713337355</v>
      </c>
      <c r="AC49" t="str">
        <f>J10</f>
        <v>Sun</v>
      </c>
      <c r="AD49">
        <f>MOD(IF(K128=1,VLOOKUP(J10,BN128:BZ133,12,FALSE),MOD(VLOOKUP(J10,B100:I156,8,FALSE)+V111,360))+AI32,360)</f>
        <v>359.91778837240474</v>
      </c>
      <c r="AE49">
        <f>IF((360-AD49)&gt;180,(0-AD49)/15,(360-AD49)/15)</f>
        <v>5.4807751730171122E-3</v>
      </c>
      <c r="AM49">
        <f>AP46*J8*COS(RADIANS(J6))/60</f>
        <v>-3.8200459487150217E-3</v>
      </c>
      <c r="AN49">
        <f>AS31</f>
        <v>10.857835942828423</v>
      </c>
      <c r="AO49">
        <f>AM49+AN49</f>
        <v>10.854015896879709</v>
      </c>
      <c r="AP49">
        <f>LOG(POWER((1-0.082490633*SIN(RADIANS(AN49)))/(1+0.082490633*SIN(RADIANS(AN49))),(0.082490633/2))*TAN(RADIANS((45+AN49/2))))*7915.70447</f>
        <v>650.99788445387389</v>
      </c>
      <c r="AQ49">
        <f>LOG(POWER((1-0.082490633*SIN(RADIANS(AO49)))/(1+0.082490633*SIN(RADIANS(AO49))),(0.082490633/2))*TAN(RADIANS((45+AO49/2))))*7915.70447</f>
        <v>650.7660372275484</v>
      </c>
      <c r="AR49">
        <f>AQ49-AP49</f>
        <v>-0.23184722632549892</v>
      </c>
      <c r="AS49">
        <f>AR49*TAN(RADIANS(J6))/60</f>
        <v>-9.5640336979879084E-3</v>
      </c>
      <c r="AT49">
        <f>AT31</f>
        <v>-76.685518440856512</v>
      </c>
      <c r="AU49">
        <f>AS49+AT49</f>
        <v>-76.695082474554496</v>
      </c>
      <c r="AW49">
        <f>AZ46*J8*COS(RADIANS(J6))/60</f>
        <v>-1.9887348502080186E-2</v>
      </c>
      <c r="AX49">
        <f>BC31</f>
        <v>9.7744724382910384</v>
      </c>
      <c r="AY49">
        <f>AW49+AX49</f>
        <v>9.754585089788959</v>
      </c>
      <c r="AZ49">
        <f>LOG(POWER((1-0.082490633*SIN(RADIANS(AX49)))/(1+0.082490633*SIN(RADIANS(AX49))),(0.082490633/2))*TAN(RADIANS((45+AX49/2))))*7915.70447</f>
        <v>585.36223458222526</v>
      </c>
      <c r="BA49">
        <f>LOG(POWER((1-0.082490633*SIN(RADIANS(AY49)))/(1+0.082490633*SIN(RADIANS(AY49))),(0.082490633/2))*TAN(RADIANS((45+AY49/2))))*7915.70447</f>
        <v>584.15945676730496</v>
      </c>
      <c r="BB49">
        <f>BA49-AZ49</f>
        <v>-1.2027778149202959</v>
      </c>
      <c r="BC49">
        <f>BB49*TAN(RADIANS(J6))/60</f>
        <v>-4.961632595483334E-2</v>
      </c>
      <c r="BD49">
        <f>BD31</f>
        <v>-79.393084009402386</v>
      </c>
      <c r="BE49">
        <f>BC49+BD49</f>
        <v>-79.442700335357216</v>
      </c>
      <c r="BG49">
        <f>BJ46*J8*COS(RADIANS(J6))/60</f>
        <v>-2.4000509699903011E-3</v>
      </c>
      <c r="BH49">
        <f>BM31</f>
        <v>10.936819880930651</v>
      </c>
      <c r="BI49">
        <f>BG49+BH49</f>
        <v>10.93441982996066</v>
      </c>
      <c r="BJ49">
        <f>LOG(POWER((1-0.082490633*SIN(RADIANS(BH49)))/(1+0.082490633*SIN(RADIANS(BH49))),(0.082490633/2))*TAN(RADIANS((45+BH49/2))))*7915.70447</f>
        <v>655.79227303395862</v>
      </c>
      <c r="BK49">
        <f>LOG(POWER((1-0.082490633*SIN(RADIANS(BI49)))/(1+0.082490633*SIN(RADIANS(BI49))),(0.082490633/2))*TAN(RADIANS((45+BI49/2))))*7915.70447</f>
        <v>655.64656899579631</v>
      </c>
      <c r="BL49">
        <f>BK49-BJ49</f>
        <v>-0.14570403816230737</v>
      </c>
      <c r="BM49">
        <f>BL49*TAN(RADIANS(J6))/60</f>
        <v>-6.0105024890865491E-3</v>
      </c>
      <c r="BN49">
        <f>BN31</f>
        <v>-76.487742971777564</v>
      </c>
      <c r="BO49">
        <f>BM49+BN49</f>
        <v>-76.493753474266654</v>
      </c>
      <c r="BQ49">
        <f>BT46*J8*COS(RADIANS(J6))/60</f>
        <v>-2.0845788968103348E-2</v>
      </c>
      <c r="BR49">
        <f>BW31</f>
        <v>9.6954885001888105</v>
      </c>
      <c r="BS49">
        <f>BQ49+BR49</f>
        <v>9.6746427112207076</v>
      </c>
      <c r="BT49">
        <f>LOG(POWER((1-0.082490633*SIN(RADIANS(BR49)))/(1+0.082490633*SIN(RADIANS(BR49))),(0.082490633/2))*TAN(RADIANS((45+BR49/2))))*7915.70447</f>
        <v>580.58575033709121</v>
      </c>
      <c r="BU49">
        <f>LOG(POWER((1-0.082490633*SIN(RADIANS(BS49)))/(1+0.082490633*SIN(RADIANS(BS49))),(0.082490633/2))*TAN(RADIANS((45+BS49/2))))*7915.70447</f>
        <v>579.32531006155341</v>
      </c>
      <c r="BV49">
        <f>BU49-BT49</f>
        <v>-1.2604402755378032</v>
      </c>
      <c r="BW49">
        <f>BV49*TAN(RADIANS(J6))/60</f>
        <v>-5.1994985925000466E-2</v>
      </c>
      <c r="BX49">
        <f>BX31</f>
        <v>-79.590120898747074</v>
      </c>
      <c r="BY49">
        <f>BW49+BX49</f>
        <v>-79.64211588467208</v>
      </c>
    </row>
    <row r="50" spans="1:77" ht="15" hidden="1">
      <c r="A50" s="202" t="s">
        <v>168</v>
      </c>
      <c r="B50" s="201">
        <v>0</v>
      </c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</row>
    <row r="51" spans="1:77" ht="15" hidden="1">
      <c r="A51" s="202" t="s">
        <v>169</v>
      </c>
      <c r="B51" s="201">
        <v>0</v>
      </c>
      <c r="C51" s="83"/>
      <c r="D51" s="83"/>
      <c r="E51" s="83"/>
      <c r="F51" s="83"/>
      <c r="G51" s="83" t="s">
        <v>47</v>
      </c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 t="s">
        <v>47</v>
      </c>
      <c r="T51" s="83"/>
      <c r="AC51" t="s">
        <v>36</v>
      </c>
      <c r="AD51" t="s">
        <v>34</v>
      </c>
      <c r="AE51" t="s">
        <v>35</v>
      </c>
      <c r="AF51" t="s">
        <v>3</v>
      </c>
      <c r="AG51" t="s">
        <v>4</v>
      </c>
      <c r="AH51" t="s">
        <v>5</v>
      </c>
      <c r="AI51" t="s">
        <v>8</v>
      </c>
      <c r="AJ51" t="s">
        <v>6</v>
      </c>
      <c r="AK51" t="s">
        <v>7</v>
      </c>
      <c r="AM51" t="s">
        <v>264</v>
      </c>
      <c r="AN51" t="s">
        <v>44</v>
      </c>
      <c r="AO51" t="s">
        <v>17</v>
      </c>
      <c r="AW51" t="s">
        <v>264</v>
      </c>
      <c r="AX51" t="s">
        <v>44</v>
      </c>
      <c r="AY51" t="s">
        <v>17</v>
      </c>
      <c r="BG51" t="s">
        <v>264</v>
      </c>
      <c r="BH51" t="s">
        <v>44</v>
      </c>
      <c r="BI51" t="s">
        <v>17</v>
      </c>
      <c r="BQ51" t="s">
        <v>264</v>
      </c>
      <c r="BR51" t="s">
        <v>44</v>
      </c>
      <c r="BS51" t="s">
        <v>17</v>
      </c>
    </row>
    <row r="52" spans="1:77" ht="15" hidden="1">
      <c r="A52" s="202" t="s">
        <v>170</v>
      </c>
      <c r="B52" s="201">
        <v>0</v>
      </c>
      <c r="C52" s="83"/>
      <c r="D52" s="83"/>
      <c r="E52" s="83"/>
      <c r="F52" s="83"/>
      <c r="G52" s="83" t="str">
        <f>J10</f>
        <v>Sun</v>
      </c>
      <c r="H52" s="83">
        <f>DEGREES(ASIN(SIN(RADIANS(P32))*SIN(RADIANS(I52))+COS(RADIANS(P32))*COS(RADIANS(I52))*COS(RADIANS(J52))))</f>
        <v>5.9024515713905186E-3</v>
      </c>
      <c r="I52" s="83">
        <f>IF(K128=1,VLOOKUP(J10,BC128:BH190,6,FALSE),VLOOKUP(J10,B100:J156,9,FALSE))</f>
        <v>-14.641104473108337</v>
      </c>
      <c r="J52" s="83">
        <f>MOD(IF(K128=1,VLOOKUP(J10,BC128:BH190,5,FALSE),MOD(VLOOKUP(J10,B100:I156,8,FALSE)+V103,360))+Q32,360)</f>
        <v>87.099140518264178</v>
      </c>
      <c r="K52" s="83"/>
      <c r="L52" s="83"/>
      <c r="M52" s="83"/>
      <c r="N52" s="83"/>
      <c r="O52" s="83"/>
      <c r="P52" s="83"/>
      <c r="Q52" s="83"/>
      <c r="R52" s="83"/>
      <c r="S52" s="83" t="str">
        <f>J10</f>
        <v>Sun</v>
      </c>
      <c r="T52" s="83">
        <f>DEGREES(ASIN(SIN(RADIANS(Z32))*SIN(RADIANS(U52))+COS(RADIANS(Z32))*COS(RADIANS(U52))*COS(RADIANS(V52))))</f>
        <v>-4.4630141276985807E-2</v>
      </c>
      <c r="U52">
        <f>IF(K128=1,VLOOKUP(J10,BN128:BR133,5,FALSE),VLOOKUP(J10,B100:J156,9,FALSE))</f>
        <v>-14.806966160080719</v>
      </c>
      <c r="V52">
        <f>MOD(IF(K128=1,VLOOKUP(J10,BN128:BR133,4,FALSE),MOD(VLOOKUP(J10,B100:I156,8,FALSE)+V107,360))+AA32,360)</f>
        <v>272.53436441786812</v>
      </c>
      <c r="AC52">
        <f>AE49*J8*COS(RADIANS(J6))/60</f>
        <v>-5.5434631954746081E-4</v>
      </c>
      <c r="AD52">
        <f>AH32</f>
        <v>9.0693702038534454</v>
      </c>
      <c r="AE52">
        <f>AC52+AD52</f>
        <v>9.0688158575338971</v>
      </c>
      <c r="AF52">
        <f>LOG(POWER((1-0.082490633*SIN(RADIANS(AD52)))/(1+0.082490633*SIN(RADIANS(AD52))),(0.082490633/2))*TAN(RADIANS((45+AD52/2))))*7915.70447</f>
        <v>542.76133088304277</v>
      </c>
      <c r="AG52">
        <f>LOG(POWER((1-0.082490633*SIN(RADIANS(AE52)))/(1+0.082490633*SIN(RADIANS(AE52))),(0.082490633/2))*TAN(RADIANS((45+AE52/2))))*7915.70447</f>
        <v>542.72787258469623</v>
      </c>
      <c r="AH52">
        <f>AG52-AF52</f>
        <v>-3.3458298346545234E-2</v>
      </c>
      <c r="AI52">
        <f>AH52*TAN(RADIANS(J6))/60</f>
        <v>-1.3802032395869037E-3</v>
      </c>
      <c r="AJ52">
        <f>AI32</f>
        <v>-81.150432954227384</v>
      </c>
      <c r="AK52">
        <f>AI52+AJ52</f>
        <v>-81.151813157466975</v>
      </c>
      <c r="AM52">
        <f>DEGREES(ASIN(SIN(RADIANS(AS32))*SIN(RADIANS(AN52))+COS(RADIANS(AS32))*COS(RADIANS(AN52))*COS(RADIANS(AO52))))</f>
        <v>-11.990071341364477</v>
      </c>
      <c r="AN52">
        <f>AC115</f>
        <v>-14.652410888700931</v>
      </c>
      <c r="AO52">
        <f>MOD(AH115+AT32,360)</f>
        <v>99.700944467106254</v>
      </c>
      <c r="AW52">
        <f>DEGREES(ASIN(SIN(RADIANS(BC32))*SIN(RADIANS(AX52))+COS(RADIANS(BC32))*COS(RADIANS(AX52))*COS(RADIANS(AY52))))</f>
        <v>-12.043359845420028</v>
      </c>
      <c r="AX52">
        <f>AC118</f>
        <v>-14.795793903986867</v>
      </c>
      <c r="AY52">
        <f>MOD(AH118+BD32,360)</f>
        <v>260.00482160831723</v>
      </c>
      <c r="BG52">
        <f>DEGREES(ASIN(SIN(RADIANS(BM32))*SIN(RADIANS(BH52))+COS(RADIANS(BM32))*COS(RADIANS(BH52))*COS(RADIANS(BI52))))</f>
        <v>-0.82674694254824166</v>
      </c>
      <c r="BH52">
        <f>AC122</f>
        <v>-14.64189307539794</v>
      </c>
      <c r="BI52">
        <f>MOD(AH122+BN32,360)</f>
        <v>87.977911226047993</v>
      </c>
      <c r="BQ52">
        <f>DEGREES(ASIN(SIN(RADIANS(BW32))*SIN(RADIANS(BR52))+COS(RADIANS(BW32))*COS(RADIANS(BR52))*COS(RADIANS(BS52))))</f>
        <v>-0.87762058147655075</v>
      </c>
      <c r="BR52">
        <f>AC125</f>
        <v>-14.806187803255357</v>
      </c>
      <c r="BS52">
        <f>MOD(AH125+BX32,360)</f>
        <v>271.66126335688409</v>
      </c>
    </row>
    <row r="53" spans="1:77" ht="15" hidden="1">
      <c r="A53" s="202" t="s">
        <v>171</v>
      </c>
      <c r="B53" s="201">
        <v>0</v>
      </c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</row>
    <row r="54" spans="1:77" ht="15" hidden="1">
      <c r="A54" s="202" t="s">
        <v>172</v>
      </c>
      <c r="B54" s="201">
        <v>0</v>
      </c>
      <c r="C54" s="83"/>
      <c r="D54" s="83"/>
      <c r="E54" s="83"/>
      <c r="F54" s="83"/>
      <c r="G54" s="83" t="s">
        <v>17</v>
      </c>
      <c r="H54" s="83" t="s">
        <v>17</v>
      </c>
      <c r="I54" s="83" t="s">
        <v>17</v>
      </c>
      <c r="J54" s="83" t="s">
        <v>256</v>
      </c>
      <c r="K54" s="83"/>
      <c r="L54" s="83"/>
      <c r="M54" s="83"/>
      <c r="N54" s="83"/>
      <c r="O54" s="83"/>
      <c r="P54" s="83"/>
      <c r="Q54" s="83"/>
      <c r="R54" s="83"/>
      <c r="S54" s="83" t="s">
        <v>17</v>
      </c>
      <c r="T54" s="83" t="s">
        <v>17</v>
      </c>
      <c r="U54" t="s">
        <v>17</v>
      </c>
      <c r="V54" t="s">
        <v>256</v>
      </c>
      <c r="AC54" t="s">
        <v>47</v>
      </c>
      <c r="AD54" t="s">
        <v>17</v>
      </c>
      <c r="AE54" t="s">
        <v>256</v>
      </c>
      <c r="AM54" t="s">
        <v>17</v>
      </c>
      <c r="AN54" t="s">
        <v>17</v>
      </c>
      <c r="AO54" t="s">
        <v>17</v>
      </c>
      <c r="AP54" t="s">
        <v>256</v>
      </c>
      <c r="AW54" t="s">
        <v>17</v>
      </c>
      <c r="AX54" t="s">
        <v>17</v>
      </c>
      <c r="AY54" t="s">
        <v>17</v>
      </c>
      <c r="AZ54" t="s">
        <v>256</v>
      </c>
      <c r="BG54" t="s">
        <v>17</v>
      </c>
      <c r="BH54" t="s">
        <v>17</v>
      </c>
      <c r="BI54" t="s">
        <v>17</v>
      </c>
      <c r="BJ54" t="s">
        <v>256</v>
      </c>
      <c r="BQ54" t="s">
        <v>17</v>
      </c>
      <c r="BR54" t="s">
        <v>17</v>
      </c>
      <c r="BS54" t="s">
        <v>17</v>
      </c>
      <c r="BT54" t="s">
        <v>256</v>
      </c>
    </row>
    <row r="55" spans="1:77" ht="15" hidden="1">
      <c r="A55" s="202" t="s">
        <v>173</v>
      </c>
      <c r="B55" s="201">
        <v>0</v>
      </c>
      <c r="C55" s="83"/>
      <c r="D55" s="83"/>
      <c r="E55" s="83"/>
      <c r="F55" s="83"/>
      <c r="G55" s="83">
        <f>DEGREES(ACOS(-TAN(RADIANS(P32))*TAN(RADIANS(I52))))</f>
        <v>87.105361951472048</v>
      </c>
      <c r="H55" s="83">
        <f>IF(ABS(G55-J52)&gt;90,360-G55,G55)</f>
        <v>87.105361951472048</v>
      </c>
      <c r="I55" s="83">
        <f>MOD(IF(ABS(H55-J52)&gt;90,H55+180,H55),360)</f>
        <v>87.105361951472048</v>
      </c>
      <c r="J55" s="83">
        <f>(I55-J52)/15</f>
        <v>4.1476221385797392E-4</v>
      </c>
      <c r="K55" s="83"/>
      <c r="L55" s="83"/>
      <c r="M55" s="83"/>
      <c r="N55" s="83"/>
      <c r="O55" s="83"/>
      <c r="P55" s="83"/>
      <c r="Q55" s="83"/>
      <c r="R55" s="83"/>
      <c r="S55" s="83">
        <f>DEGREES(ACOS(-TAN(RADIANS(Z32))*TAN(RADIANS(U52))))</f>
        <v>87.418760601061692</v>
      </c>
      <c r="T55" s="83">
        <f>MOD(IF(ABS(S55-I55)&lt;90,360-S55,S55),360)</f>
        <v>272.58123939893829</v>
      </c>
      <c r="U55">
        <f>T55</f>
        <v>272.58123939893829</v>
      </c>
      <c r="V55">
        <f>(U55-V52)/15</f>
        <v>3.1249987380116786E-3</v>
      </c>
      <c r="AC55" t="str">
        <f>J10</f>
        <v>Sun</v>
      </c>
      <c r="AD55">
        <f>MOD(IF(K128=1,VLOOKUP(J10,BN128:CB133,14,FALSE),MOD(VLOOKUP(J10,B100:I156,8,FALSE)+V112,360))+AI33,360)</f>
        <v>359.99862031463363</v>
      </c>
      <c r="AE55">
        <f>IF((360-AD55)&gt;180,(0-AD55)/15,(360-AD55)/15)</f>
        <v>9.1979024424896724E-5</v>
      </c>
      <c r="AM55">
        <f>DEGREES(ACOS((SIN(RADIANS(-12))-SIN(RADIANS(AS32))*SIN(RADIANS(AN52)))/(COS(RADIANS(AS32))*COS(RADIANS(AN52)))))</f>
        <v>99.711314096685953</v>
      </c>
      <c r="AN55">
        <f>IF(ABS(AM55-AO52)&gt;90,360-AM55,AM55)</f>
        <v>99.711314096685953</v>
      </c>
      <c r="AO55">
        <f>MOD(IF(ABS(AN55-AO52)&gt;90,AN55+180,AN55),360)</f>
        <v>99.711314096685953</v>
      </c>
      <c r="AP55">
        <f>(AO55-AO52)/15</f>
        <v>6.9130863864662231E-4</v>
      </c>
      <c r="AW55">
        <f>DEGREES(ACOS((SIN(RADIANS(-12))-SIN(RADIANS(BC32))*SIN(RADIANS(AX52)))/(COS(RADIANS(BC32))*COS(RADIANS(AX52)))))</f>
        <v>99.949988824871284</v>
      </c>
      <c r="AX55">
        <f>MOD(IF(ABS(AW55-AO55)&lt;90,360-AW55,AW55),360)</f>
        <v>260.0500111751287</v>
      </c>
      <c r="AY55">
        <f>AX55</f>
        <v>260.0500111751287</v>
      </c>
      <c r="AZ55">
        <f>(AY55-AY52)/15</f>
        <v>3.0126377874315343E-3</v>
      </c>
      <c r="BG55">
        <f>DEGREES(ACOS((SIN(RADIANS(-0.833))-SIN(RADIANS(BM32))*SIN(RADIANS(BH52)))/(COS(RADIANS(BM32))*COS(RADIANS(BH52)))))</f>
        <v>87.984497072152195</v>
      </c>
      <c r="BH55">
        <f>IF(ABS(BG55-BI52)&gt;90,360-BG55,BG55)</f>
        <v>87.984497072152195</v>
      </c>
      <c r="BI55">
        <f>MOD(IF(ABS(BH55-BI52)&gt;90,BH55+180,BH55),360)</f>
        <v>87.984497072152195</v>
      </c>
      <c r="BJ55">
        <f>(BI55-BI52)/15</f>
        <v>4.390564069467473E-4</v>
      </c>
      <c r="BQ55">
        <f>DEGREES(ACOS((SIN(RADIANS(-0.833))-SIN(RADIANS(BW32))*SIN(RADIANS(BR52)))/(COS(RADIANS(BW32))*COS(RADIANS(BR52)))))</f>
        <v>88.291902697440165</v>
      </c>
      <c r="BR55">
        <f>MOD(IF(ABS(BQ55-BI55)&lt;90,360-BQ55,BQ55),360)</f>
        <v>271.70809730255985</v>
      </c>
      <c r="BS55">
        <f>BR55</f>
        <v>271.70809730255985</v>
      </c>
      <c r="BT55">
        <f>(BS55-BS52)/15</f>
        <v>3.1222630450505068E-3</v>
      </c>
    </row>
    <row r="56" spans="1:77" ht="15" hidden="1">
      <c r="A56" s="202" t="s">
        <v>174</v>
      </c>
      <c r="B56" s="201">
        <v>0</v>
      </c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</row>
    <row r="57" spans="1:77" ht="15" hidden="1">
      <c r="A57" s="202" t="s">
        <v>175</v>
      </c>
      <c r="B57" s="201">
        <v>0</v>
      </c>
      <c r="C57" s="83"/>
      <c r="D57" s="83"/>
      <c r="E57" s="83"/>
      <c r="F57" s="83"/>
      <c r="G57" s="83" t="s">
        <v>36</v>
      </c>
      <c r="H57" s="83" t="s">
        <v>34</v>
      </c>
      <c r="I57" s="83" t="s">
        <v>35</v>
      </c>
      <c r="J57" s="83" t="s">
        <v>3</v>
      </c>
      <c r="K57" s="83" t="s">
        <v>4</v>
      </c>
      <c r="L57" s="83" t="s">
        <v>5</v>
      </c>
      <c r="M57" s="83" t="s">
        <v>8</v>
      </c>
      <c r="N57" s="83" t="s">
        <v>6</v>
      </c>
      <c r="O57" s="83" t="s">
        <v>7</v>
      </c>
      <c r="P57" s="83"/>
      <c r="Q57" s="83"/>
      <c r="R57" s="83"/>
      <c r="S57" s="83" t="s">
        <v>36</v>
      </c>
      <c r="T57" s="83" t="s">
        <v>34</v>
      </c>
      <c r="U57" t="s">
        <v>35</v>
      </c>
      <c r="V57" t="s">
        <v>3</v>
      </c>
      <c r="W57" t="s">
        <v>4</v>
      </c>
      <c r="X57" t="s">
        <v>5</v>
      </c>
      <c r="Y57" t="s">
        <v>8</v>
      </c>
      <c r="Z57" t="s">
        <v>6</v>
      </c>
      <c r="AA57" t="s">
        <v>7</v>
      </c>
      <c r="AC57" t="s">
        <v>36</v>
      </c>
      <c r="AD57" t="s">
        <v>34</v>
      </c>
      <c r="AE57" t="s">
        <v>35</v>
      </c>
      <c r="AF57" t="s">
        <v>3</v>
      </c>
      <c r="AG57" t="s">
        <v>4</v>
      </c>
      <c r="AH57" t="s">
        <v>5</v>
      </c>
      <c r="AI57" t="s">
        <v>8</v>
      </c>
      <c r="AJ57" t="s">
        <v>6</v>
      </c>
      <c r="AK57" t="s">
        <v>7</v>
      </c>
      <c r="AM57" t="s">
        <v>36</v>
      </c>
      <c r="AN57" t="s">
        <v>34</v>
      </c>
      <c r="AO57" t="s">
        <v>35</v>
      </c>
      <c r="AP57" t="s">
        <v>3</v>
      </c>
      <c r="AQ57" t="s">
        <v>4</v>
      </c>
      <c r="AR57" t="s">
        <v>5</v>
      </c>
      <c r="AS57" t="s">
        <v>8</v>
      </c>
      <c r="AT57" t="s">
        <v>6</v>
      </c>
      <c r="AU57" t="s">
        <v>7</v>
      </c>
      <c r="AW57" t="s">
        <v>36</v>
      </c>
      <c r="AX57" t="s">
        <v>34</v>
      </c>
      <c r="AY57" t="s">
        <v>35</v>
      </c>
      <c r="AZ57" t="s">
        <v>3</v>
      </c>
      <c r="BA57" t="s">
        <v>4</v>
      </c>
      <c r="BB57" t="s">
        <v>5</v>
      </c>
      <c r="BC57" t="s">
        <v>8</v>
      </c>
      <c r="BD57" t="s">
        <v>6</v>
      </c>
      <c r="BE57" t="s">
        <v>7</v>
      </c>
      <c r="BG57" t="s">
        <v>36</v>
      </c>
      <c r="BH57" t="s">
        <v>34</v>
      </c>
      <c r="BI57" t="s">
        <v>35</v>
      </c>
      <c r="BJ57" t="s">
        <v>3</v>
      </c>
      <c r="BK57" t="s">
        <v>4</v>
      </c>
      <c r="BL57" t="s">
        <v>5</v>
      </c>
      <c r="BM57" t="s">
        <v>8</v>
      </c>
      <c r="BN57" t="s">
        <v>6</v>
      </c>
      <c r="BO57" t="s">
        <v>7</v>
      </c>
      <c r="BQ57" t="s">
        <v>36</v>
      </c>
      <c r="BR57" t="s">
        <v>34</v>
      </c>
      <c r="BS57" t="s">
        <v>35</v>
      </c>
      <c r="BT57" t="s">
        <v>3</v>
      </c>
      <c r="BU57" t="s">
        <v>4</v>
      </c>
      <c r="BV57" t="s">
        <v>5</v>
      </c>
      <c r="BW57" t="s">
        <v>8</v>
      </c>
      <c r="BX57" t="s">
        <v>6</v>
      </c>
      <c r="BY57" t="s">
        <v>7</v>
      </c>
    </row>
    <row r="58" spans="1:77" ht="15" hidden="1">
      <c r="A58" s="202" t="s">
        <v>176</v>
      </c>
      <c r="B58" s="201">
        <v>0</v>
      </c>
      <c r="C58" s="83"/>
      <c r="D58" s="83"/>
      <c r="E58" s="83"/>
      <c r="F58" s="83"/>
      <c r="G58" s="83">
        <f>J55*J8*COS(RADIANS(J6))/60</f>
        <v>-4.1950618202963975E-5</v>
      </c>
      <c r="H58" s="83">
        <f>P32</f>
        <v>10.940447006253319</v>
      </c>
      <c r="I58" s="83">
        <f>G58+H58</f>
        <v>10.940405055635116</v>
      </c>
      <c r="J58" s="83">
        <f>LOG(POWER((1-0.082490633*SIN(RADIANS(H58)))/(1+0.082490633*SIN(RADIANS(H58))),(0.082490633/2))*TAN(RADIANS((45+H58/2))))*7915.70447</f>
        <v>656.01247346100024</v>
      </c>
      <c r="K58" s="83">
        <f>LOG(POWER((1-0.082490633*SIN(RADIANS(I58)))/(1+0.082490633*SIN(RADIANS(I58))),(0.082490633/2))*TAN(RADIANS((45+I58/2))))*7915.70447</f>
        <v>656.00992665056071</v>
      </c>
      <c r="L58" s="83">
        <f>K58-J58</f>
        <v>-2.5468104395258706E-3</v>
      </c>
      <c r="M58" s="83">
        <f>L58*TAN(RADIANS(J6))/60</f>
        <v>-1.0505961728356425E-4</v>
      </c>
      <c r="N58" s="83">
        <f>Q32</f>
        <v>-76.478659385409443</v>
      </c>
      <c r="O58" s="83">
        <f>M58+N58</f>
        <v>-76.478764445026727</v>
      </c>
      <c r="P58" s="83"/>
      <c r="Q58" s="83"/>
      <c r="R58" s="83"/>
      <c r="S58" s="83">
        <f>V55*J8*COS(RADIANS(J6))/60</f>
        <v>-3.1607418555240657E-4</v>
      </c>
      <c r="T58" s="83">
        <f>Z32</f>
        <v>9.6686548091044049</v>
      </c>
      <c r="U58">
        <f>S58+T58</f>
        <v>9.6683387349188532</v>
      </c>
      <c r="V58">
        <f>LOG(POWER((1-0.082490633*SIN(RADIANS(T58)))/(1+0.082490633*SIN(RADIANS(T58))),(0.082490633/2))*TAN(RADIANS((45+T58/2))))*7915.70447</f>
        <v>578.96326631400586</v>
      </c>
      <c r="W58">
        <f>LOG(POWER((1-0.082490633*SIN(RADIANS(U58)))/(1+0.082490633*SIN(RADIANS(U58))),(0.082490633/2))*TAN(RADIANS((45+U58/2))))*7915.70447</f>
        <v>578.94415584868716</v>
      </c>
      <c r="X58">
        <f>W58-V58</f>
        <v>-1.9110465318703973E-2</v>
      </c>
      <c r="Y58">
        <f>X58*TAN(RADIANS(J6))/60</f>
        <v>-7.8833435788320378E-4</v>
      </c>
      <c r="Z58">
        <f>AA32</f>
        <v>-79.657050713337355</v>
      </c>
      <c r="AA58">
        <f>Y58+Z58</f>
        <v>-79.657839047695234</v>
      </c>
      <c r="AC58">
        <f>AE55*J8*COS(RADIANS(J6))/60</f>
        <v>-9.3031062314929784E-6</v>
      </c>
      <c r="AD58">
        <f>AH33</f>
        <v>9.0688158575338971</v>
      </c>
      <c r="AE58">
        <f>AC58+AD58</f>
        <v>9.068806554427665</v>
      </c>
      <c r="AF58">
        <f>LOG(POWER((1-0.082490633*SIN(RADIANS(AD58)))/(1+0.082490633*SIN(RADIANS(AD58))),(0.082490633/2))*TAN(RADIANS((45+AD58/2))))*7915.70447</f>
        <v>542.72787258469623</v>
      </c>
      <c r="AG58">
        <f>LOG(POWER((1-0.082490633*SIN(RADIANS(AE58)))/(1+0.082490633*SIN(RADIANS(AE58))),(0.082490633/2))*TAN(RADIANS((45+AE58/2))))*7915.70447</f>
        <v>542.72731108397966</v>
      </c>
      <c r="AH58">
        <f>AG58-AF58</f>
        <v>-5.6150071657157241E-4</v>
      </c>
      <c r="AI58">
        <f>AH58*TAN(RADIANS(J6))/60</f>
        <v>-2.3162717362835454E-5</v>
      </c>
      <c r="AJ58">
        <f>AI33</f>
        <v>-81.151813157466975</v>
      </c>
      <c r="AK58">
        <f>AI58+AJ58</f>
        <v>-81.151836320184344</v>
      </c>
      <c r="AM58">
        <f>AP55*J8*COS(RADIANS(J6))/60</f>
        <v>-6.992156901304882E-5</v>
      </c>
      <c r="AN58">
        <f>AS32</f>
        <v>10.854015896879709</v>
      </c>
      <c r="AO58">
        <f>AM58+AN58</f>
        <v>10.853945975310696</v>
      </c>
      <c r="AP58">
        <f>LOG(POWER((1-0.082490633*SIN(RADIANS(AN58)))/(1+0.082490633*SIN(RADIANS(AN58))),(0.082490633/2))*TAN(RADIANS((45+AN58/2))))*7915.70447</f>
        <v>650.7660372275484</v>
      </c>
      <c r="AQ58">
        <f>LOG(POWER((1-0.082490633*SIN(RADIANS(AO58)))/(1+0.082490633*SIN(RADIANS(AO58))),(0.082490633/2))*TAN(RADIANS((45+AO58/2))))*7915.70447</f>
        <v>650.76179355740931</v>
      </c>
      <c r="AR58">
        <f>AQ58-AP58</f>
        <v>-4.2436701390897724E-3</v>
      </c>
      <c r="AS58">
        <f>AR58*TAN(RADIANS(J6))/60</f>
        <v>-1.750575361916065E-4</v>
      </c>
      <c r="AT58">
        <f>AT32</f>
        <v>-76.695082474554496</v>
      </c>
      <c r="AU58">
        <f>AS58+AT58</f>
        <v>-76.695257532090693</v>
      </c>
      <c r="AW58">
        <f>AZ55*J8*COS(RADIANS(J6))/60</f>
        <v>-3.0470957426136016E-4</v>
      </c>
      <c r="AX58">
        <f>BC32</f>
        <v>9.754585089788959</v>
      </c>
      <c r="AY58">
        <f>AW58+AX58</f>
        <v>9.7542803802146985</v>
      </c>
      <c r="AZ58">
        <f>LOG(POWER((1-0.082490633*SIN(RADIANS(AX58)))/(1+0.082490633*SIN(RADIANS(AX58))),(0.082490633/2))*TAN(RADIANS((45+AX58/2))))*7915.70447</f>
        <v>584.15945676730496</v>
      </c>
      <c r="BA58">
        <f>LOG(POWER((1-0.082490633*SIN(RADIANS(AY58)))/(1+0.082490633*SIN(RADIANS(AY58))),(0.082490633/2))*TAN(RADIANS((45+AY58/2))))*7915.70447</f>
        <v>584.14102863651033</v>
      </c>
      <c r="BB58">
        <f>BA58-AZ58</f>
        <v>-1.8428130794632125E-2</v>
      </c>
      <c r="BC58">
        <f>BB58*TAN(RADIANS(J6))/60</f>
        <v>-7.601870710471655E-4</v>
      </c>
      <c r="BD58">
        <f>BD32</f>
        <v>-79.442700335357216</v>
      </c>
      <c r="BE58">
        <f>BC58+BD58</f>
        <v>-79.443460522428268</v>
      </c>
      <c r="BG58">
        <f>BJ55*J8*COS(RADIANS(J6))/60</f>
        <v>-4.4407824729412906E-5</v>
      </c>
      <c r="BH58">
        <f>BM32</f>
        <v>10.93441982996066</v>
      </c>
      <c r="BI58">
        <f>BG58+BH58</f>
        <v>10.934375422135931</v>
      </c>
      <c r="BJ58">
        <f>LOG(POWER((1-0.082490633*SIN(RADIANS(BH58)))/(1+0.082490633*SIN(RADIANS(BH58))),(0.082490633/2))*TAN(RADIANS((45+BH58/2))))*7915.70447</f>
        <v>655.64656899579631</v>
      </c>
      <c r="BK58">
        <f>LOG(POWER((1-0.082490633*SIN(RADIANS(BI58)))/(1+0.082490633*SIN(RADIANS(BI58))),(0.082490633/2))*TAN(RADIANS((45+BI58/2))))*7915.70447</f>
        <v>655.64387306456263</v>
      </c>
      <c r="BL58">
        <f>BK58-BJ58</f>
        <v>-2.6959312336884977E-3</v>
      </c>
      <c r="BM58">
        <f>BL58*TAN(RADIANS(J6))/60</f>
        <v>-1.1121106590361284E-4</v>
      </c>
      <c r="BN58">
        <f>BN32</f>
        <v>-76.493753474266654</v>
      </c>
      <c r="BO58">
        <f>BM58+BN58</f>
        <v>-76.493864685332554</v>
      </c>
      <c r="BQ58">
        <f>BT55*J8*COS(RADIANS(J6))/60</f>
        <v>-3.1579748722478611E-4</v>
      </c>
      <c r="BR58">
        <f>BW32</f>
        <v>9.6746427112207076</v>
      </c>
      <c r="BS58">
        <f>BQ58+BR58</f>
        <v>9.6743269137334824</v>
      </c>
      <c r="BT58">
        <f>LOG(POWER((1-0.082490633*SIN(RADIANS(BR58)))/(1+0.082490633*SIN(RADIANS(BR58))),(0.082490633/2))*TAN(RADIANS((45+BR58/2))))*7915.70447</f>
        <v>579.32531006155341</v>
      </c>
      <c r="BU58">
        <f>LOG(POWER((1-0.082490633*SIN(RADIANS(BS58)))/(1+0.082490633*SIN(RADIANS(BS58))),(0.082490633/2))*TAN(RADIANS((45+BS58/2))))*7915.70447</f>
        <v>579.30621598138055</v>
      </c>
      <c r="BV58">
        <f>BU58-BT58</f>
        <v>-1.9094080172862959E-2</v>
      </c>
      <c r="BW58">
        <f>BV58*TAN(RADIANS(J6))/60</f>
        <v>-7.8765844689883044E-4</v>
      </c>
      <c r="BX58">
        <f>BX32</f>
        <v>-79.64211588467208</v>
      </c>
      <c r="BY58">
        <f>BW58+BX58</f>
        <v>-79.642903543118976</v>
      </c>
    </row>
    <row r="59" spans="1:77" ht="15" hidden="1">
      <c r="A59" s="202" t="s">
        <v>177</v>
      </c>
      <c r="B59" s="201">
        <v>0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</row>
    <row r="60" spans="1:77" ht="15" hidden="1">
      <c r="A60" s="202" t="s">
        <v>178</v>
      </c>
      <c r="B60" s="201">
        <v>0</v>
      </c>
      <c r="C60" s="83"/>
      <c r="D60" s="83"/>
      <c r="E60" s="83"/>
      <c r="F60" s="83"/>
      <c r="G60" s="83" t="s">
        <v>47</v>
      </c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 t="s">
        <v>47</v>
      </c>
      <c r="T60" s="83"/>
      <c r="AC60" t="s">
        <v>47</v>
      </c>
      <c r="AD60" t="s">
        <v>17</v>
      </c>
      <c r="AE60" t="s">
        <v>256</v>
      </c>
      <c r="AM60" t="s">
        <v>264</v>
      </c>
      <c r="AN60" t="s">
        <v>44</v>
      </c>
      <c r="AO60" t="s">
        <v>17</v>
      </c>
      <c r="AW60" t="s">
        <v>264</v>
      </c>
      <c r="AX60" t="s">
        <v>44</v>
      </c>
      <c r="AY60" t="s">
        <v>17</v>
      </c>
      <c r="BG60" t="s">
        <v>264</v>
      </c>
      <c r="BH60" t="s">
        <v>44</v>
      </c>
      <c r="BI60" t="s">
        <v>17</v>
      </c>
      <c r="BQ60" t="s">
        <v>264</v>
      </c>
      <c r="BR60" t="s">
        <v>44</v>
      </c>
      <c r="BS60" t="s">
        <v>17</v>
      </c>
    </row>
    <row r="61" spans="1:77" ht="15" hidden="1">
      <c r="A61" s="202" t="s">
        <v>179</v>
      </c>
      <c r="B61" s="201">
        <v>0</v>
      </c>
      <c r="C61" s="83"/>
      <c r="D61" s="83"/>
      <c r="E61" s="83"/>
      <c r="F61" s="83"/>
      <c r="G61" s="83" t="str">
        <f>J10</f>
        <v>Sun</v>
      </c>
      <c r="H61" s="83">
        <f>DEGREES(ASIN(SIN(RADIANS(P33))*SIN(RADIANS(I61))+COS(RADIANS(P33))*COS(RADIANS(I61))*COS(RADIANS(J61))))</f>
        <v>1.0931666452659186E-4</v>
      </c>
      <c r="I61" s="83">
        <f>IF(K128=1,VLOOKUP(J10,BC128:BJ190,8,FALSE),VLOOKUP(J10,B100:J156,9,FALSE))</f>
        <v>-14.641109962056719</v>
      </c>
      <c r="J61" s="83">
        <f>MOD(IF(K128=1,VLOOKUP(J10,BC128:BI190,7,FALSE),MOD(VLOOKUP(J10,B100:I156,8,FALSE)+V104,360))+Q33,360)</f>
        <v>87.10525697602499</v>
      </c>
      <c r="K61" s="83"/>
      <c r="L61" s="83"/>
      <c r="M61" s="83"/>
      <c r="N61" s="83"/>
      <c r="O61" s="83"/>
      <c r="P61" s="83"/>
      <c r="Q61" s="83"/>
      <c r="R61" s="83"/>
      <c r="S61" s="83" t="str">
        <f>J10</f>
        <v>Sun</v>
      </c>
      <c r="T61" s="83">
        <f>DEGREES(ASIN(SIN(RADIANS(Z33))*SIN(RADIANS(U61))+COS(RADIANS(Z33))*COS(RADIANS(U61))*COS(RADIANS(V61))))</f>
        <v>-6.7537928618357005E-4</v>
      </c>
      <c r="U61">
        <f>IF(K128=1,VLOOKUP(J10,BN128:BT133,7,FALSE),VLOOKUP(J10,B100:J156,9,FALSE))</f>
        <v>-14.807007245329794</v>
      </c>
      <c r="V61">
        <f>MOD(IF(K128=1,VLOOKUP(J10,BN128:BT133,6,FALSE),MOD(VLOOKUP(J10,B100:I156,8,FALSE)+V108,360))+AA33,360)</f>
        <v>272.58045146887747</v>
      </c>
      <c r="AC61" t="str">
        <f>J10</f>
        <v>Sun</v>
      </c>
      <c r="AD61">
        <f>MOD(IF(K128=1,VLOOKUP(J10,BN128:CD133,16,FALSE),MOD(VLOOKUP(J10,B100:I156,8,FALSE)+V113,360))+AI34,360)</f>
        <v>359.99997684607877</v>
      </c>
      <c r="AE61">
        <f>IF((360-AD61)&gt;180,(0-AD61)/15,(360-AD61)/15)</f>
        <v>1.543594748909527E-6</v>
      </c>
      <c r="AM61">
        <f>DEGREES(ASIN(SIN(RADIANS(AS33))*SIN(RADIANS(AN61))+COS(RADIANS(AS33))*COS(RADIANS(AN61))*COS(RADIANS(AO61))))</f>
        <v>-11.999818266569685</v>
      </c>
      <c r="AN61">
        <f>AC116</f>
        <v>-14.652420033410563</v>
      </c>
      <c r="AO61">
        <f>MOD(AH116+AT33,360)</f>
        <v>99.711139175600067</v>
      </c>
      <c r="AW61">
        <f>DEGREES(ASIN(SIN(RADIANS(BC33))*SIN(RADIANS(AX61))+COS(RADIANS(BC33))*COS(RADIANS(AX61))*COS(RADIANS(AY61))))</f>
        <v>-12.000664299433494</v>
      </c>
      <c r="AX61">
        <f>AC119</f>
        <v>-14.795833529759687</v>
      </c>
      <c r="AY61">
        <f>MOD(AH119+BD33,360)</f>
        <v>260.04925139240549</v>
      </c>
      <c r="BG61">
        <f>DEGREES(ASIN(SIN(RADIANS(BM33))*SIN(RADIANS(BH61))+COS(RADIANS(BM33))*COS(RADIANS(BH61))*COS(RADIANS(BI61))))</f>
        <v>-0.83288430037674177</v>
      </c>
      <c r="BH61">
        <f>AC123</f>
        <v>-14.641898885675728</v>
      </c>
      <c r="BI61">
        <f>MOD(AH123+BN33,360)</f>
        <v>87.984385949866734</v>
      </c>
      <c r="BQ61">
        <f>DEGREES(ASIN(SIN(RADIANS(BW33))*SIN(RADIANS(BR61))+COS(RADIANS(BW33))*COS(RADIANS(BR61))*COS(RADIANS(BS61))))</f>
        <v>-0.83367592181439443</v>
      </c>
      <c r="BR61">
        <f>AC126</f>
        <v>-14.806228853820869</v>
      </c>
      <c r="BS61">
        <f>MOD(AH126+BX33,360)</f>
        <v>271.7073100487242</v>
      </c>
    </row>
    <row r="62" spans="1:77" ht="15" hidden="1">
      <c r="A62" s="202" t="s">
        <v>180</v>
      </c>
      <c r="B62" s="201">
        <v>0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</row>
    <row r="63" spans="1:77" ht="15" hidden="1">
      <c r="A63" s="202" t="s">
        <v>181</v>
      </c>
      <c r="B63" s="201">
        <v>0</v>
      </c>
      <c r="C63" s="83"/>
      <c r="D63" s="83"/>
      <c r="E63" s="83"/>
      <c r="F63" s="83"/>
      <c r="G63" s="83" t="s">
        <v>17</v>
      </c>
      <c r="H63" s="83" t="s">
        <v>17</v>
      </c>
      <c r="I63" s="83" t="s">
        <v>17</v>
      </c>
      <c r="J63" s="83" t="s">
        <v>256</v>
      </c>
      <c r="K63" s="83"/>
      <c r="L63" s="83"/>
      <c r="M63" s="83"/>
      <c r="N63" s="83"/>
      <c r="O63" s="83"/>
      <c r="P63" s="83"/>
      <c r="Q63" s="83"/>
      <c r="R63" s="83"/>
      <c r="S63" s="83" t="s">
        <v>17</v>
      </c>
      <c r="T63" s="83" t="s">
        <v>17</v>
      </c>
      <c r="U63" t="s">
        <v>17</v>
      </c>
      <c r="V63" t="s">
        <v>256</v>
      </c>
      <c r="AW63" t="s">
        <v>17</v>
      </c>
      <c r="AX63" t="s">
        <v>17</v>
      </c>
      <c r="AY63" t="s">
        <v>17</v>
      </c>
      <c r="AZ63" t="s">
        <v>256</v>
      </c>
      <c r="BQ63" t="s">
        <v>17</v>
      </c>
      <c r="BR63" t="s">
        <v>17</v>
      </c>
      <c r="BS63" t="s">
        <v>17</v>
      </c>
      <c r="BT63" t="s">
        <v>256</v>
      </c>
    </row>
    <row r="64" spans="1:77" ht="15" hidden="1">
      <c r="A64" s="202" t="s">
        <v>182</v>
      </c>
      <c r="B64" s="201">
        <v>0</v>
      </c>
      <c r="C64" s="83"/>
      <c r="D64" s="83"/>
      <c r="E64" s="83"/>
      <c r="F64" s="83"/>
      <c r="G64" s="83">
        <f>DEGREES(ACOS(-TAN(RADIANS(P33))*TAN(RADIANS(I61))))</f>
        <v>87.105372200080723</v>
      </c>
      <c r="H64" s="83">
        <f>IF(ABS(G64-J61)&gt;90,360-G64,G64)</f>
        <v>87.105372200080723</v>
      </c>
      <c r="I64" s="83">
        <f>MOD(IF(ABS(H64-J61)&gt;90,H64+180,H64),360)</f>
        <v>87.105372200080723</v>
      </c>
      <c r="J64" s="83">
        <f>(I64-J61)/15</f>
        <v>7.681603715544346E-6</v>
      </c>
      <c r="K64" s="83"/>
      <c r="L64" s="83"/>
      <c r="M64" s="83"/>
      <c r="N64" s="83"/>
      <c r="O64" s="83"/>
      <c r="P64" s="83"/>
      <c r="Q64" s="83"/>
      <c r="R64" s="83"/>
      <c r="S64" s="83">
        <f>DEGREES(ACOS(-TAN(RADIANS(Z33))*TAN(RADIANS(U61))))</f>
        <v>87.418839168810607</v>
      </c>
      <c r="T64" s="83">
        <f>MOD(IF(ABS(S64-I64)&lt;90,360-S64,S64),360)</f>
        <v>272.58116083118938</v>
      </c>
      <c r="U64">
        <f>T64</f>
        <v>272.58116083118938</v>
      </c>
      <c r="V64">
        <f>(U64-V61)/15</f>
        <v>4.7290820793932654E-5</v>
      </c>
      <c r="AW64">
        <f>DEGREES(ACOS((SIN(RADIANS(-12))-SIN(RADIANS(BC33))*SIN(RADIANS(AX61)))/(COS(RADIANS(BC33))*COS(RADIANS(AX61)))))</f>
        <v>99.950056268407181</v>
      </c>
      <c r="AX64">
        <f>MOD(IF(ABS(AW55-AO55)&lt;90,360-AW64,AW64),360)</f>
        <v>260.0499437315928</v>
      </c>
      <c r="AY64">
        <f>AX64</f>
        <v>260.0499437315928</v>
      </c>
      <c r="AZ64">
        <f>(AY64-AY61)/15</f>
        <v>4.6155945820676907E-5</v>
      </c>
      <c r="BQ64">
        <f>DEGREES(ACOS((SIN(RADIANS(-0.833))-SIN(RADIANS(BW33))*SIN(RADIANS(BR61)))/(COS(RADIANS(BW33))*COS(RADIANS(BR61)))))</f>
        <v>88.291980489058631</v>
      </c>
      <c r="BR64">
        <f>MOD(IF(ABS(BQ55-BI55)&lt;90,360-BQ64,BQ64),360)</f>
        <v>271.70801951094137</v>
      </c>
      <c r="BS64">
        <f>BR64</f>
        <v>271.70801951094137</v>
      </c>
      <c r="BT64">
        <f>(BS64-BS61)/15</f>
        <v>4.7297481144899697E-5</v>
      </c>
    </row>
    <row r="65" spans="1:77" ht="15" hidden="1">
      <c r="A65" s="202" t="s">
        <v>183</v>
      </c>
      <c r="B65" s="201">
        <v>0</v>
      </c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</row>
    <row r="66" spans="1:77" ht="15" hidden="1">
      <c r="A66" s="202" t="s">
        <v>184</v>
      </c>
      <c r="B66" s="201">
        <v>0</v>
      </c>
      <c r="C66" s="83"/>
      <c r="D66" s="83"/>
      <c r="E66" s="83"/>
      <c r="F66" s="83"/>
      <c r="G66" s="83" t="s">
        <v>36</v>
      </c>
      <c r="H66" s="83" t="s">
        <v>34</v>
      </c>
      <c r="I66" s="83" t="s">
        <v>35</v>
      </c>
      <c r="J66" s="83" t="s">
        <v>3</v>
      </c>
      <c r="K66" s="83" t="s">
        <v>4</v>
      </c>
      <c r="L66" s="83" t="s">
        <v>5</v>
      </c>
      <c r="M66" s="83" t="s">
        <v>8</v>
      </c>
      <c r="N66" s="83" t="s">
        <v>6</v>
      </c>
      <c r="O66" s="83" t="s">
        <v>7</v>
      </c>
      <c r="P66" s="83"/>
      <c r="Q66" s="83"/>
      <c r="R66" s="83"/>
      <c r="S66" s="83" t="s">
        <v>36</v>
      </c>
      <c r="T66" s="83" t="s">
        <v>34</v>
      </c>
      <c r="U66" t="s">
        <v>35</v>
      </c>
      <c r="V66" t="s">
        <v>3</v>
      </c>
      <c r="W66" t="s">
        <v>4</v>
      </c>
      <c r="X66" t="s">
        <v>5</v>
      </c>
      <c r="Y66" t="s">
        <v>8</v>
      </c>
      <c r="Z66" t="s">
        <v>6</v>
      </c>
      <c r="AA66" t="s">
        <v>7</v>
      </c>
      <c r="AW66" t="s">
        <v>36</v>
      </c>
      <c r="AX66" t="s">
        <v>34</v>
      </c>
      <c r="AY66" t="s">
        <v>35</v>
      </c>
      <c r="AZ66" t="s">
        <v>3</v>
      </c>
      <c r="BA66" t="s">
        <v>4</v>
      </c>
      <c r="BB66" t="s">
        <v>5</v>
      </c>
      <c r="BC66" t="s">
        <v>8</v>
      </c>
      <c r="BD66" t="s">
        <v>6</v>
      </c>
      <c r="BE66" t="s">
        <v>7</v>
      </c>
      <c r="BQ66" t="s">
        <v>36</v>
      </c>
      <c r="BR66" t="s">
        <v>34</v>
      </c>
      <c r="BS66" t="s">
        <v>35</v>
      </c>
      <c r="BT66" t="s">
        <v>3</v>
      </c>
      <c r="BU66" t="s">
        <v>4</v>
      </c>
      <c r="BV66" t="s">
        <v>5</v>
      </c>
      <c r="BW66" t="s">
        <v>8</v>
      </c>
      <c r="BX66" t="s">
        <v>6</v>
      </c>
      <c r="BY66" t="s">
        <v>7</v>
      </c>
    </row>
    <row r="67" spans="1:77" ht="15" hidden="1">
      <c r="A67" s="202" t="s">
        <v>242</v>
      </c>
      <c r="B67" s="201">
        <v>1</v>
      </c>
      <c r="C67" s="83"/>
      <c r="D67" s="83"/>
      <c r="E67" s="83"/>
      <c r="F67" s="83"/>
      <c r="G67" s="83">
        <f>J64*J8*COS(RADIANS(J6))/60</f>
        <v>-7.7694643795979212E-7</v>
      </c>
      <c r="H67" s="83">
        <f>P33</f>
        <v>10.940405055635116</v>
      </c>
      <c r="I67" s="83">
        <f>G67+H67</f>
        <v>10.940404278688678</v>
      </c>
      <c r="J67" s="83">
        <f>LOG(POWER((1-0.082490633*SIN(RADIANS(H67)))/(1+0.082490633*SIN(RADIANS(H67))),(0.082490633/2))*TAN(RADIANS((45+H67/2))))*7915.70447</f>
        <v>656.00992665056071</v>
      </c>
      <c r="K67" s="83">
        <f>LOG(POWER((1-0.082490633*SIN(RADIANS(I67)))/(1+0.082490633*SIN(RADIANS(I67))),(0.082490633/2))*TAN(RADIANS((45+I67/2))))*7915.70447</f>
        <v>656.00987948236104</v>
      </c>
      <c r="L67" s="83">
        <f>K67-J67</f>
        <v>-4.7168199671432376E-5</v>
      </c>
      <c r="M67" s="83">
        <f>L67*TAN(RADIANS(J6))/60</f>
        <v>-1.9457565151012835E-6</v>
      </c>
      <c r="N67" s="83">
        <f>Q33</f>
        <v>-76.478764445026727</v>
      </c>
      <c r="O67" s="83">
        <f>M67+N67</f>
        <v>-76.478766390783235</v>
      </c>
      <c r="P67" s="83"/>
      <c r="Q67" s="83"/>
      <c r="R67" s="83"/>
      <c r="S67" s="83">
        <f>V64*J8*COS(RADIANS(J6))/60</f>
        <v>-4.783172384913525E-6</v>
      </c>
      <c r="T67" s="83">
        <f>Z33</f>
        <v>9.6683387349188532</v>
      </c>
      <c r="U67">
        <f>S67+T67</f>
        <v>9.6683339517464688</v>
      </c>
      <c r="V67">
        <f>LOG(POWER((1-0.082490633*SIN(RADIANS(T67)))/(1+0.082490633*SIN(RADIANS(T67))),(0.082490633/2))*TAN(RADIANS((45+T67/2))))*7915.70447</f>
        <v>578.94415584868716</v>
      </c>
      <c r="W67">
        <f>LOG(POWER((1-0.082490633*SIN(RADIANS(U67)))/(1+0.082490633*SIN(RADIANS(U67))),(0.082490633/2))*TAN(RADIANS((45+U67/2))))*7915.70447</f>
        <v>578.94386664884189</v>
      </c>
      <c r="X67">
        <f>W67-V67</f>
        <v>-2.8919984526964981E-4</v>
      </c>
      <c r="Y67">
        <f>X67*TAN(RADIANS(J6))/60</f>
        <v>-1.1929912250615609E-5</v>
      </c>
      <c r="Z67">
        <f>AA33</f>
        <v>-79.657839047695234</v>
      </c>
      <c r="AA67">
        <f>Y67+Z67</f>
        <v>-79.657850977607481</v>
      </c>
      <c r="AW67">
        <f>AZ64*J8*COS(RADIANS(J6))/60</f>
        <v>-4.6683868400387617E-6</v>
      </c>
      <c r="AX67">
        <f>BC33</f>
        <v>9.7542803802146985</v>
      </c>
      <c r="AY67">
        <f>AW67+AX67</f>
        <v>9.7542757118278587</v>
      </c>
      <c r="AZ67">
        <f>LOG(POWER((1-0.082490633*SIN(RADIANS(AX67)))/(1+0.082490633*SIN(RADIANS(AX67))),(0.082490633/2))*TAN(RADIANS((45+AX67/2))))*7915.70447</f>
        <v>584.14102863651033</v>
      </c>
      <c r="BA67">
        <f>LOG(POWER((1-0.082490633*SIN(RADIANS(AY67)))/(1+0.082490633*SIN(RADIANS(AY67))),(0.082490633/2))*TAN(RADIANS((45+AY67/2))))*7915.70447</f>
        <v>584.14074630339724</v>
      </c>
      <c r="BB67">
        <f>BA67-AZ67</f>
        <v>-2.8233311309122655E-4</v>
      </c>
      <c r="BC67">
        <f>BB67*TAN(RADIANS(J6))/60</f>
        <v>-1.1646649608269843E-5</v>
      </c>
      <c r="BD67">
        <f>BD33</f>
        <v>-79.443460522428268</v>
      </c>
      <c r="BE67">
        <f>BC67+BD67</f>
        <v>-79.443472169077879</v>
      </c>
      <c r="BQ67">
        <f>BT64*J8*COS(RADIANS(J6))/60</f>
        <v>-4.7838460379879384E-6</v>
      </c>
      <c r="BR67">
        <f>BW33</f>
        <v>9.6743269137334824</v>
      </c>
      <c r="BS67">
        <f>BQ67+BR67</f>
        <v>9.6743221298874449</v>
      </c>
      <c r="BT67">
        <f>LOG(POWER((1-0.082490633*SIN(RADIANS(BR67)))/(1+0.082490633*SIN(RADIANS(BR67))),(0.082490633/2))*TAN(RADIANS((45+BR67/2))))*7915.70447</f>
        <v>579.30621598138055</v>
      </c>
      <c r="BU67">
        <f>LOG(POWER((1-0.082490633*SIN(RADIANS(BS67)))/(1+0.082490633*SIN(RADIANS(BS67))),(0.082490633/2))*TAN(RADIANS((45+BS67/2))))*7915.70447</f>
        <v>579.30592673558465</v>
      </c>
      <c r="BV67">
        <f>BU67-BT67</f>
        <v>-2.8924579589784116E-4</v>
      </c>
      <c r="BW67">
        <f>BV67*TAN(RADIANS(J6))/60</f>
        <v>-1.1931807780544653E-5</v>
      </c>
      <c r="BX67">
        <f>BX33</f>
        <v>-79.642903543118976</v>
      </c>
      <c r="BY67">
        <f>BW67+BX67</f>
        <v>-79.642915474926752</v>
      </c>
    </row>
    <row r="68" spans="1:77" ht="15" hidden="1">
      <c r="A68" s="202" t="s">
        <v>185</v>
      </c>
      <c r="B68" s="201">
        <v>0</v>
      </c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</row>
    <row r="69" spans="1:77" ht="15" hidden="1">
      <c r="A69" s="202" t="s">
        <v>186</v>
      </c>
      <c r="B69" s="201">
        <v>0</v>
      </c>
      <c r="C69" s="83"/>
      <c r="D69" s="83"/>
      <c r="E69" s="83"/>
      <c r="F69" s="83"/>
      <c r="G69" s="83" t="s">
        <v>47</v>
      </c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 t="s">
        <v>47</v>
      </c>
      <c r="T69" s="83"/>
      <c r="AW69" t="s">
        <v>264</v>
      </c>
      <c r="AX69" t="s">
        <v>44</v>
      </c>
      <c r="AY69" t="s">
        <v>17</v>
      </c>
      <c r="BQ69" t="s">
        <v>264</v>
      </c>
      <c r="BR69" t="s">
        <v>44</v>
      </c>
      <c r="BS69" t="s">
        <v>17</v>
      </c>
    </row>
    <row r="70" spans="1:77" ht="15" hidden="1">
      <c r="A70" s="202" t="s">
        <v>187</v>
      </c>
      <c r="B70" s="201">
        <v>0</v>
      </c>
      <c r="C70" s="83"/>
      <c r="D70" s="83"/>
      <c r="E70" s="83"/>
      <c r="F70" s="83"/>
      <c r="G70" s="83" t="str">
        <f>J10</f>
        <v>Sun</v>
      </c>
      <c r="H70" s="83">
        <f>DEGREES(ASIN(SIN(RADIANS(P34))*SIN(RADIANS(I70))+COS(RADIANS(P34))*COS(RADIANS(I70))*COS(RADIANS(J70))))</f>
        <v>2.0247113143858502E-6</v>
      </c>
      <c r="I70" s="83">
        <f>IF(K128=1,VLOOKUP(J10,BC128:BL190,10,FALSE),VLOOKUP(J10,B100:J156,9,FALSE))</f>
        <v>-14.641110063714695</v>
      </c>
      <c r="J70" s="83">
        <f>MOD(IF(K128=1,VLOOKUP(J10,BC128:BK190,9,FALSE),MOD(VLOOKUP(J10,B100:I156,8,FALSE)+V105,360))+Q34,360)</f>
        <v>87.105370255765067</v>
      </c>
      <c r="K70" s="83"/>
      <c r="L70" s="83"/>
      <c r="M70" s="83"/>
      <c r="N70" s="83"/>
      <c r="O70" s="83"/>
      <c r="P70" s="83"/>
      <c r="Q70" s="83"/>
      <c r="R70" s="83"/>
      <c r="S70" s="83" t="str">
        <f>J10</f>
        <v>Sun</v>
      </c>
      <c r="T70" s="83">
        <f>DEGREES(ASIN(SIN(RADIANS(Z34))*SIN(RADIANS(U70))+COS(RADIANS(Z34))*COS(RADIANS(U70))*COS(RADIANS(V70))))</f>
        <v>-1.0220442997182818E-5</v>
      </c>
      <c r="U70">
        <f>IF(K128=1,VLOOKUP(J10,BN128:BV133,9,FALSE),VLOOKUP(J10,B100:J156,9,FALSE))</f>
        <v>-14.807007867075395</v>
      </c>
      <c r="V70">
        <f>MOD(IF(K128=1,VLOOKUP(J10,BN128:BV133,8,FALSE),MOD(VLOOKUP(J10,B100:I156,8,FALSE)+V109,360))+AA34,360)</f>
        <v>272.58114890750835</v>
      </c>
      <c r="AW70">
        <f>DEGREES(ASIN(SIN(RADIANS(BC34))*SIN(RADIANS(AX70))+COS(RADIANS(BC34))*COS(RADIANS(AX70))*COS(RADIANS(AY70))))</f>
        <v>-12.00001017746839</v>
      </c>
      <c r="AX70">
        <f>AC120</f>
        <v>-14.795834136856906</v>
      </c>
      <c r="AY70">
        <f>MOD(AH120+BD34,360)</f>
        <v>260.04993209124393</v>
      </c>
      <c r="BQ70">
        <f>DEGREES(ASIN(SIN(RADIANS(BW34))*SIN(RADIANS(BR70))+COS(RADIANS(BW34))*COS(RADIANS(BR70))*COS(RADIANS(BS70))))</f>
        <v>-0.83301023911010996</v>
      </c>
      <c r="BR70">
        <f>AC127</f>
        <v>-14.806229475673547</v>
      </c>
      <c r="BS70">
        <f>MOD(AH127+BX34,360)</f>
        <v>271.70800758532016</v>
      </c>
    </row>
    <row r="71" spans="1:77" ht="15" hidden="1">
      <c r="A71" s="202" t="s">
        <v>234</v>
      </c>
      <c r="B71" s="201">
        <v>1</v>
      </c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3"/>
    </row>
    <row r="72" spans="1:77" ht="15" hidden="1">
      <c r="A72" s="202" t="s">
        <v>188</v>
      </c>
      <c r="B72" s="201">
        <v>0</v>
      </c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</row>
    <row r="73" spans="1:77" ht="15" hidden="1">
      <c r="A73" s="202" t="s">
        <v>189</v>
      </c>
      <c r="B73" s="201">
        <v>0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</row>
    <row r="74" spans="1:77" ht="15" hidden="1">
      <c r="A74" s="202" t="s">
        <v>190</v>
      </c>
      <c r="B74" s="201">
        <v>0</v>
      </c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</row>
    <row r="75" spans="1:77" ht="15" hidden="1">
      <c r="A75" s="202" t="s">
        <v>191</v>
      </c>
      <c r="B75" s="201">
        <v>0</v>
      </c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</row>
    <row r="76" spans="1:77" ht="15" hidden="1">
      <c r="A76" s="202" t="s">
        <v>192</v>
      </c>
      <c r="B76" s="201">
        <v>0</v>
      </c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</row>
    <row r="77" spans="1:77" ht="15" hidden="1">
      <c r="A77" s="202" t="s">
        <v>193</v>
      </c>
      <c r="B77" s="201">
        <v>0</v>
      </c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</row>
    <row r="78" spans="1:77" ht="15" hidden="1">
      <c r="A78" s="202" t="s">
        <v>194</v>
      </c>
      <c r="B78" s="201">
        <v>0</v>
      </c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</row>
    <row r="79" spans="1:77" ht="15" hidden="1">
      <c r="A79" s="202" t="s">
        <v>195</v>
      </c>
      <c r="B79" s="201">
        <v>0</v>
      </c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</row>
    <row r="80" spans="1:77" ht="15" hidden="1">
      <c r="A80" s="202" t="s">
        <v>196</v>
      </c>
      <c r="B80" s="201">
        <v>0</v>
      </c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</row>
    <row r="81" spans="1:245" ht="15" hidden="1">
      <c r="A81" s="202" t="s">
        <v>197</v>
      </c>
      <c r="B81" s="201">
        <v>0</v>
      </c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</row>
    <row r="82" spans="1:245" ht="15" hidden="1">
      <c r="A82" s="202" t="s">
        <v>198</v>
      </c>
      <c r="B82" s="201">
        <v>0</v>
      </c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</row>
    <row r="83" spans="1:245" ht="15" hidden="1">
      <c r="A83" s="202" t="s">
        <v>199</v>
      </c>
      <c r="B83" s="201">
        <v>0</v>
      </c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</row>
    <row r="84" spans="1:245" ht="15" hidden="1">
      <c r="A84" s="202" t="s">
        <v>200</v>
      </c>
      <c r="B84" s="201">
        <v>0</v>
      </c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</row>
    <row r="85" spans="1:245" ht="15" hidden="1">
      <c r="A85" s="202" t="s">
        <v>248</v>
      </c>
      <c r="B85" s="201">
        <v>1</v>
      </c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</row>
    <row r="86" spans="1:245" ht="15" hidden="1">
      <c r="A86" s="202" t="s">
        <v>201</v>
      </c>
      <c r="B86" s="201">
        <v>0</v>
      </c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</row>
    <row r="87" spans="1:245" ht="15" hidden="1">
      <c r="A87" s="202" t="s">
        <v>202</v>
      </c>
      <c r="B87" s="201">
        <v>0</v>
      </c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</row>
    <row r="88" spans="1:245" ht="15" hidden="1">
      <c r="A88" s="202" t="s">
        <v>203</v>
      </c>
      <c r="B88" s="201">
        <v>0</v>
      </c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</row>
    <row r="89" spans="1:245" ht="15" hidden="1">
      <c r="A89" s="202" t="s">
        <v>204</v>
      </c>
      <c r="B89" s="201">
        <v>0</v>
      </c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</row>
    <row r="90" spans="1:245" ht="15" hidden="1">
      <c r="A90" s="202" t="s">
        <v>215</v>
      </c>
      <c r="B90" s="201">
        <v>0</v>
      </c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</row>
    <row r="91" spans="1:245" ht="15" hidden="1">
      <c r="A91" s="202" t="s">
        <v>205</v>
      </c>
      <c r="B91" s="201">
        <v>0</v>
      </c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</row>
    <row r="92" spans="1:245" ht="15" hidden="1">
      <c r="A92" s="202" t="s">
        <v>240</v>
      </c>
      <c r="B92" s="201">
        <v>1</v>
      </c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</row>
    <row r="93" spans="1:245" ht="15" hidden="1">
      <c r="A93" s="202" t="s">
        <v>206</v>
      </c>
      <c r="B93" s="201">
        <v>0</v>
      </c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</row>
    <row r="94" spans="1:245" ht="15" hidden="1">
      <c r="A94" s="83"/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</row>
    <row r="95" spans="1:245" ht="15" hidden="1">
      <c r="A95" s="83"/>
      <c r="B95" s="83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</row>
    <row r="96" spans="1:245" ht="15" hidden="1">
      <c r="A96" s="85"/>
      <c r="B96" s="85"/>
      <c r="C96" s="203"/>
      <c r="D96" s="203"/>
      <c r="E96" s="83"/>
      <c r="F96" s="85"/>
      <c r="G96" s="85"/>
      <c r="H96" s="85"/>
      <c r="I96" s="85"/>
      <c r="J96" s="85"/>
      <c r="K96" s="85"/>
      <c r="L96" s="85"/>
      <c r="M96" s="85"/>
      <c r="N96" s="201"/>
      <c r="O96" s="201"/>
      <c r="P96" s="201"/>
      <c r="Q96" s="201"/>
      <c r="R96" s="201"/>
      <c r="S96" s="201"/>
      <c r="T96" s="201"/>
      <c r="U96" s="15"/>
      <c r="V96" s="15"/>
      <c r="W96" s="15"/>
      <c r="X96" s="15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13"/>
      <c r="CT96" s="13"/>
      <c r="CU96" s="13"/>
      <c r="CV96" s="13"/>
      <c r="CW96" s="13"/>
      <c r="CX96" s="13"/>
      <c r="CY96" s="13"/>
      <c r="CZ96" s="13"/>
      <c r="DA96" s="13"/>
      <c r="DB96" s="13"/>
      <c r="DC96" s="13"/>
      <c r="DD96" s="13"/>
      <c r="DE96" s="13"/>
      <c r="DF96" s="13"/>
      <c r="DG96" s="13"/>
      <c r="DH96" s="13"/>
      <c r="DI96" s="13"/>
      <c r="DJ96" s="13"/>
      <c r="DK96" s="13"/>
      <c r="DL96" s="13"/>
      <c r="DM96" s="13"/>
      <c r="DN96" s="13"/>
      <c r="DO96" s="13"/>
      <c r="DP96" s="13"/>
      <c r="DQ96" s="13"/>
      <c r="DR96" s="13"/>
      <c r="DS96" s="13"/>
      <c r="DT96" s="13"/>
      <c r="DU96" s="13"/>
      <c r="DV96" s="14"/>
      <c r="DW96" s="13"/>
      <c r="DX96" s="13"/>
      <c r="DY96" s="13"/>
      <c r="DZ96" s="13"/>
      <c r="EA96" s="13"/>
      <c r="EB96" s="13"/>
      <c r="EC96" s="13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</row>
    <row r="97" spans="1:245" ht="15" hidden="1">
      <c r="A97" s="85"/>
      <c r="B97" s="203" t="s">
        <v>50</v>
      </c>
      <c r="C97" s="85"/>
      <c r="D97" s="85"/>
      <c r="E97" s="83"/>
      <c r="F97" s="85"/>
      <c r="G97" s="85"/>
      <c r="H97" s="85"/>
      <c r="I97" s="85"/>
      <c r="J97" s="85"/>
      <c r="K97" s="85"/>
      <c r="L97" s="85"/>
      <c r="M97" s="85"/>
      <c r="N97" s="201"/>
      <c r="O97" s="201"/>
      <c r="P97" s="201"/>
      <c r="Q97" s="201"/>
      <c r="R97" s="201"/>
      <c r="S97" s="201"/>
      <c r="T97" s="201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13"/>
      <c r="CR97" s="16"/>
      <c r="CS97" s="13"/>
      <c r="CT97" s="2"/>
      <c r="CU97" s="2"/>
      <c r="CV97" s="2"/>
      <c r="CW97" s="15"/>
      <c r="CX97" s="15"/>
      <c r="CY97" s="15"/>
      <c r="CZ97" s="15"/>
      <c r="DA97" s="15"/>
      <c r="DB97" s="15"/>
      <c r="DC97" s="15"/>
      <c r="DD97" s="15"/>
      <c r="DE97" s="15"/>
      <c r="DF97" s="15"/>
      <c r="DG97" s="15"/>
      <c r="DH97" s="15"/>
      <c r="DI97" s="15"/>
      <c r="DJ97" s="15"/>
      <c r="DK97" s="15"/>
      <c r="DL97" s="15"/>
      <c r="DM97" s="15"/>
      <c r="DN97" s="15"/>
      <c r="DO97" s="15"/>
      <c r="DP97" s="15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5"/>
      <c r="EC97" s="15"/>
      <c r="ED97" s="15"/>
      <c r="EE97" s="15"/>
      <c r="EF97" s="15"/>
      <c r="EG97" s="15"/>
      <c r="EH97" s="15"/>
      <c r="EI97" s="15"/>
      <c r="EJ97" s="15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</row>
    <row r="98" spans="1:245" ht="15" hidden="1">
      <c r="A98" s="85"/>
      <c r="B98" s="85"/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201"/>
      <c r="O98" s="201"/>
      <c r="P98" s="201"/>
      <c r="Q98" s="201"/>
      <c r="R98" s="201"/>
      <c r="S98" s="201"/>
      <c r="T98" s="201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501" t="s">
        <v>83</v>
      </c>
      <c r="AJ98" s="501"/>
      <c r="AK98" s="501"/>
      <c r="AL98" s="501"/>
      <c r="AM98" s="501"/>
      <c r="AN98" s="501"/>
      <c r="AO98" s="501"/>
      <c r="AP98" s="501"/>
      <c r="AQ98" s="501"/>
      <c r="AR98" s="501"/>
      <c r="AS98" s="501"/>
      <c r="AT98" s="501"/>
      <c r="AU98" s="501"/>
      <c r="AV98" s="501"/>
      <c r="AW98" s="501"/>
      <c r="AX98" s="501"/>
      <c r="AY98" s="501"/>
      <c r="AZ98" s="501"/>
      <c r="BA98" s="501"/>
      <c r="BB98" s="501"/>
      <c r="BC98" s="501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13"/>
      <c r="CR98" s="13"/>
      <c r="CS98" s="13"/>
      <c r="CT98" s="2"/>
      <c r="CU98" s="2"/>
      <c r="CV98" s="2"/>
      <c r="CW98" s="15"/>
      <c r="CX98" s="15"/>
      <c r="CY98" s="15"/>
      <c r="CZ98" s="15"/>
      <c r="DA98" s="15"/>
      <c r="DB98" s="15"/>
      <c r="DC98" s="15"/>
      <c r="DD98" s="501" t="s">
        <v>234</v>
      </c>
      <c r="DE98" s="501"/>
      <c r="DF98" s="501"/>
      <c r="DG98" s="501"/>
      <c r="DH98" s="501"/>
      <c r="DI98" s="501"/>
      <c r="DJ98" s="501"/>
      <c r="DK98" s="501"/>
      <c r="DL98" s="501"/>
      <c r="DM98" s="501"/>
      <c r="DN98" s="501"/>
      <c r="DO98" s="501"/>
      <c r="DP98" s="501"/>
      <c r="DQ98" s="501"/>
      <c r="DR98" s="501"/>
      <c r="DS98" s="501"/>
      <c r="DT98" s="501"/>
      <c r="DU98" s="501"/>
      <c r="DV98" s="501"/>
      <c r="DW98" s="501"/>
      <c r="DX98" s="501"/>
      <c r="DY98" s="501"/>
      <c r="DZ98" s="501"/>
      <c r="EA98" s="501"/>
      <c r="EB98" s="501"/>
      <c r="EC98" s="501"/>
      <c r="ED98" s="501"/>
      <c r="EE98" s="501"/>
      <c r="EF98" s="501"/>
      <c r="EG98" s="501"/>
      <c r="EH98" s="501"/>
      <c r="EI98" s="501"/>
      <c r="EJ98" s="501"/>
      <c r="EK98" s="502" t="s">
        <v>240</v>
      </c>
      <c r="EL98" s="502"/>
      <c r="EM98" s="502"/>
      <c r="EN98" s="502"/>
      <c r="EO98" s="502"/>
      <c r="EP98" s="502"/>
      <c r="EQ98" s="502"/>
      <c r="ER98" s="502"/>
      <c r="ES98" s="502"/>
      <c r="ET98" s="502"/>
      <c r="EU98" s="502"/>
      <c r="EV98" s="502"/>
      <c r="EW98" s="502"/>
      <c r="EX98" s="502"/>
      <c r="EY98" s="502"/>
      <c r="EZ98" s="502"/>
      <c r="FA98" s="502"/>
      <c r="FB98" s="502"/>
      <c r="FC98" s="502"/>
      <c r="FD98" s="502"/>
      <c r="FE98" s="502"/>
      <c r="FF98" s="502"/>
      <c r="FG98" s="502"/>
      <c r="FH98" s="502"/>
      <c r="FI98" s="502"/>
      <c r="FJ98" s="502"/>
      <c r="FK98" s="502"/>
      <c r="FL98" s="502"/>
      <c r="FM98" s="502"/>
      <c r="FN98" s="502"/>
      <c r="FO98" s="502"/>
      <c r="FP98" s="502"/>
      <c r="FQ98" s="502"/>
      <c r="FR98" s="502" t="s">
        <v>242</v>
      </c>
      <c r="FS98" s="502"/>
      <c r="FT98" s="502"/>
      <c r="FU98" s="502"/>
      <c r="FV98" s="502"/>
      <c r="FW98" s="502"/>
      <c r="FX98" s="502"/>
      <c r="FY98" s="502"/>
      <c r="FZ98" s="502"/>
      <c r="GA98" s="502"/>
      <c r="GB98" s="502"/>
      <c r="GC98" s="502"/>
      <c r="GD98" s="502"/>
      <c r="GE98" s="502"/>
      <c r="GF98" s="502"/>
      <c r="GG98" s="502"/>
      <c r="GH98" s="502"/>
      <c r="GI98" s="502"/>
      <c r="GJ98" s="502"/>
      <c r="GK98" s="502"/>
      <c r="GL98" s="502"/>
      <c r="GM98" s="502"/>
      <c r="GN98" s="502"/>
      <c r="GO98" s="502"/>
      <c r="GP98" s="502"/>
      <c r="GQ98" s="502"/>
      <c r="GR98" s="502"/>
      <c r="GS98" s="502"/>
      <c r="GT98" s="502"/>
      <c r="GU98" s="502"/>
      <c r="GV98" s="502"/>
      <c r="GW98" s="502"/>
      <c r="GX98" s="502"/>
      <c r="GY98" s="502"/>
      <c r="GZ98" s="50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</row>
    <row r="99" spans="1:245" ht="15" hidden="1">
      <c r="A99" s="85"/>
      <c r="B99" s="85"/>
      <c r="C99" s="85" t="s">
        <v>208</v>
      </c>
      <c r="D99" s="204" t="s">
        <v>209</v>
      </c>
      <c r="E99" s="85" t="s">
        <v>213</v>
      </c>
      <c r="F99" s="85" t="s">
        <v>210</v>
      </c>
      <c r="G99" s="85" t="s">
        <v>211</v>
      </c>
      <c r="H99" s="85" t="s">
        <v>212</v>
      </c>
      <c r="I99" s="85" t="s">
        <v>151</v>
      </c>
      <c r="J99" s="85" t="s">
        <v>214</v>
      </c>
      <c r="K99" s="85"/>
      <c r="L99" s="85"/>
      <c r="M99" s="85" t="s">
        <v>69</v>
      </c>
      <c r="N99" s="201" t="s">
        <v>67</v>
      </c>
      <c r="O99" s="201" t="s">
        <v>68</v>
      </c>
      <c r="P99" s="201" t="s">
        <v>0</v>
      </c>
      <c r="Q99" s="201" t="s">
        <v>70</v>
      </c>
      <c r="R99" s="201" t="s">
        <v>71</v>
      </c>
      <c r="S99" s="201" t="s">
        <v>72</v>
      </c>
      <c r="T99" s="201" t="s">
        <v>70</v>
      </c>
      <c r="U99" s="15" t="s">
        <v>73</v>
      </c>
      <c r="V99" s="15" t="s">
        <v>78</v>
      </c>
      <c r="W99" s="15" t="s">
        <v>68</v>
      </c>
      <c r="X99" s="15" t="s">
        <v>74</v>
      </c>
      <c r="Y99" s="15" t="s">
        <v>75</v>
      </c>
      <c r="Z99" s="15" t="s">
        <v>45</v>
      </c>
      <c r="AA99" s="15" t="s">
        <v>76</v>
      </c>
      <c r="AB99" s="15" t="s">
        <v>70</v>
      </c>
      <c r="AC99" s="15" t="s">
        <v>82</v>
      </c>
      <c r="AD99" s="15" t="s">
        <v>79</v>
      </c>
      <c r="AE99" s="15" t="s">
        <v>80</v>
      </c>
      <c r="AF99" s="15" t="s">
        <v>81</v>
      </c>
      <c r="AG99" s="15" t="s">
        <v>85</v>
      </c>
      <c r="AH99" s="15" t="s">
        <v>77</v>
      </c>
      <c r="AI99" s="15" t="s">
        <v>136</v>
      </c>
      <c r="AJ99" s="15" t="s">
        <v>137</v>
      </c>
      <c r="AK99" s="15" t="s">
        <v>92</v>
      </c>
      <c r="AL99" s="15" t="s">
        <v>138</v>
      </c>
      <c r="AM99" s="15" t="s">
        <v>139</v>
      </c>
      <c r="AN99" s="15" t="s">
        <v>91</v>
      </c>
      <c r="AO99" s="15" t="s">
        <v>93</v>
      </c>
      <c r="AP99" s="15" t="s">
        <v>135</v>
      </c>
      <c r="AQ99" s="15" t="s">
        <v>94</v>
      </c>
      <c r="AR99" s="15" t="s">
        <v>95</v>
      </c>
      <c r="AS99" s="15" t="s">
        <v>96</v>
      </c>
      <c r="AT99" s="15" t="s">
        <v>97</v>
      </c>
      <c r="AU99" s="15" t="s">
        <v>140</v>
      </c>
      <c r="AV99" s="15" t="s">
        <v>98</v>
      </c>
      <c r="AW99" s="15" t="s">
        <v>99</v>
      </c>
      <c r="AX99" s="15" t="s">
        <v>100</v>
      </c>
      <c r="AY99" s="15" t="s">
        <v>101</v>
      </c>
      <c r="AZ99" s="15" t="s">
        <v>102</v>
      </c>
      <c r="BA99" s="15" t="s">
        <v>141</v>
      </c>
      <c r="BB99" s="15" t="s">
        <v>103</v>
      </c>
      <c r="BC99" s="15" t="s">
        <v>142</v>
      </c>
      <c r="BD99" s="2" t="s">
        <v>86</v>
      </c>
      <c r="BE99" s="2" t="s">
        <v>87</v>
      </c>
      <c r="BF99" s="2" t="s">
        <v>88</v>
      </c>
      <c r="BG99" s="2" t="s">
        <v>89</v>
      </c>
      <c r="BH99" s="2" t="s">
        <v>143</v>
      </c>
      <c r="BI99" s="2" t="s">
        <v>90</v>
      </c>
      <c r="BJ99" s="2" t="s">
        <v>104</v>
      </c>
      <c r="BK99" s="2" t="s">
        <v>144</v>
      </c>
      <c r="BL99" s="2" t="s">
        <v>145</v>
      </c>
      <c r="BM99" s="2" t="s">
        <v>105</v>
      </c>
      <c r="BN99" s="2" t="s">
        <v>106</v>
      </c>
      <c r="BO99" s="2" t="s">
        <v>107</v>
      </c>
      <c r="BP99" s="2" t="s">
        <v>108</v>
      </c>
      <c r="BQ99" s="2" t="s">
        <v>109</v>
      </c>
      <c r="BR99" s="2" t="s">
        <v>146</v>
      </c>
      <c r="BS99" s="2" t="s">
        <v>103</v>
      </c>
      <c r="BT99" s="2" t="s">
        <v>147</v>
      </c>
      <c r="BU99" s="2" t="s">
        <v>111</v>
      </c>
      <c r="BV99" s="2" t="s">
        <v>112</v>
      </c>
      <c r="BW99" s="2" t="s">
        <v>148</v>
      </c>
      <c r="BX99" s="2" t="s">
        <v>31</v>
      </c>
      <c r="BY99" s="2" t="s">
        <v>113</v>
      </c>
      <c r="BZ99" s="2" t="s">
        <v>114</v>
      </c>
      <c r="CA99" s="2" t="s">
        <v>115</v>
      </c>
      <c r="CB99" s="2" t="s">
        <v>116</v>
      </c>
      <c r="CC99" s="2" t="s">
        <v>117</v>
      </c>
      <c r="CD99" s="2" t="s">
        <v>118</v>
      </c>
      <c r="CE99" s="2" t="s">
        <v>119</v>
      </c>
      <c r="CF99" s="2" t="s">
        <v>120</v>
      </c>
      <c r="CG99" s="2" t="s">
        <v>121</v>
      </c>
      <c r="CH99" s="2" t="s">
        <v>122</v>
      </c>
      <c r="CI99" s="2" t="s">
        <v>123</v>
      </c>
      <c r="CJ99" s="2" t="s">
        <v>124</v>
      </c>
      <c r="CK99" s="2" t="s">
        <v>125</v>
      </c>
      <c r="CL99" s="2" t="s">
        <v>126</v>
      </c>
      <c r="CM99" s="2" t="s">
        <v>127</v>
      </c>
      <c r="CN99" s="2" t="s">
        <v>128</v>
      </c>
      <c r="CO99" s="2" t="s">
        <v>129</v>
      </c>
      <c r="CP99" s="2" t="s">
        <v>130</v>
      </c>
      <c r="CQ99" s="2" t="s">
        <v>110</v>
      </c>
      <c r="CR99" s="2" t="s">
        <v>131</v>
      </c>
      <c r="CS99" s="13" t="s">
        <v>106</v>
      </c>
      <c r="CT99" s="10" t="s">
        <v>132</v>
      </c>
      <c r="CU99" s="10" t="s">
        <v>133</v>
      </c>
      <c r="CV99" s="10" t="s">
        <v>134</v>
      </c>
      <c r="CW99" s="10" t="s">
        <v>100</v>
      </c>
      <c r="CX99" s="10" t="s">
        <v>101</v>
      </c>
      <c r="CY99" s="10" t="s">
        <v>102</v>
      </c>
      <c r="CZ99" s="10" t="s">
        <v>149</v>
      </c>
      <c r="DA99" s="10" t="s">
        <v>103</v>
      </c>
      <c r="DB99" s="10" t="s">
        <v>150</v>
      </c>
      <c r="DC99" s="10" t="s">
        <v>15</v>
      </c>
      <c r="DD99" s="10" t="s">
        <v>216</v>
      </c>
      <c r="DE99" s="10" t="s">
        <v>217</v>
      </c>
      <c r="DF99" s="10" t="s">
        <v>218</v>
      </c>
      <c r="DG99" s="10" t="s">
        <v>219</v>
      </c>
      <c r="DH99" s="10" t="s">
        <v>220</v>
      </c>
      <c r="DI99" s="10" t="s">
        <v>221</v>
      </c>
      <c r="DJ99" s="15" t="s">
        <v>222</v>
      </c>
      <c r="DK99" s="15" t="s">
        <v>223</v>
      </c>
      <c r="DL99" s="15" t="s">
        <v>224</v>
      </c>
      <c r="DM99" s="15" t="s">
        <v>225</v>
      </c>
      <c r="DN99" s="15" t="s">
        <v>226</v>
      </c>
      <c r="DO99" s="15" t="s">
        <v>227</v>
      </c>
      <c r="DP99" s="15" t="s">
        <v>228</v>
      </c>
      <c r="DQ99" s="15" t="s">
        <v>229</v>
      </c>
      <c r="DR99" s="15" t="s">
        <v>230</v>
      </c>
      <c r="DS99" s="15" t="s">
        <v>103</v>
      </c>
      <c r="DT99" s="15" t="s">
        <v>231</v>
      </c>
      <c r="DU99" s="15" t="s">
        <v>239</v>
      </c>
      <c r="DV99" s="10" t="s">
        <v>107</v>
      </c>
      <c r="DW99" s="10" t="s">
        <v>108</v>
      </c>
      <c r="DX99" s="10" t="s">
        <v>109</v>
      </c>
      <c r="DY99" s="10" t="s">
        <v>98</v>
      </c>
      <c r="DZ99" s="10" t="s">
        <v>99</v>
      </c>
      <c r="EA99" s="10" t="s">
        <v>132</v>
      </c>
      <c r="EB99" s="10" t="s">
        <v>133</v>
      </c>
      <c r="EC99" s="10" t="s">
        <v>134</v>
      </c>
      <c r="ED99" s="10" t="s">
        <v>100</v>
      </c>
      <c r="EE99" s="10" t="s">
        <v>101</v>
      </c>
      <c r="EF99" s="10" t="s">
        <v>102</v>
      </c>
      <c r="EG99" s="10" t="s">
        <v>232</v>
      </c>
      <c r="EH99" s="15"/>
      <c r="EI99" s="15" t="s">
        <v>233</v>
      </c>
      <c r="EJ99" s="15" t="s">
        <v>15</v>
      </c>
      <c r="EK99" s="2" t="s">
        <v>9</v>
      </c>
      <c r="EL99" s="2" t="s">
        <v>235</v>
      </c>
      <c r="EM99" s="2" t="s">
        <v>236</v>
      </c>
      <c r="EN99" s="2" t="s">
        <v>81</v>
      </c>
      <c r="EO99" s="2" t="s">
        <v>70</v>
      </c>
      <c r="EP99" s="2" t="s">
        <v>2</v>
      </c>
      <c r="EQ99" s="2" t="s">
        <v>76</v>
      </c>
      <c r="ER99" s="2" t="s">
        <v>94</v>
      </c>
      <c r="ES99" s="2" t="s">
        <v>95</v>
      </c>
      <c r="ET99" s="2" t="s">
        <v>40</v>
      </c>
      <c r="EU99" s="2" t="s">
        <v>237</v>
      </c>
      <c r="EV99" s="2" t="s">
        <v>107</v>
      </c>
      <c r="EW99" s="2" t="s">
        <v>108</v>
      </c>
      <c r="EX99" s="2" t="s">
        <v>109</v>
      </c>
      <c r="EY99" s="2" t="s">
        <v>238</v>
      </c>
      <c r="EZ99" s="2" t="s">
        <v>103</v>
      </c>
      <c r="FA99" s="2" t="s">
        <v>147</v>
      </c>
      <c r="FB99" s="2" t="s">
        <v>239</v>
      </c>
      <c r="FC99" s="13" t="s">
        <v>107</v>
      </c>
      <c r="FD99" s="10" t="s">
        <v>108</v>
      </c>
      <c r="FE99" s="10" t="s">
        <v>109</v>
      </c>
      <c r="FF99" s="10" t="s">
        <v>98</v>
      </c>
      <c r="FG99" s="10" t="s">
        <v>99</v>
      </c>
      <c r="FH99" s="10" t="s">
        <v>132</v>
      </c>
      <c r="FI99" s="10" t="s">
        <v>133</v>
      </c>
      <c r="FJ99" s="10" t="s">
        <v>134</v>
      </c>
      <c r="FK99" s="10" t="s">
        <v>100</v>
      </c>
      <c r="FL99" s="10" t="s">
        <v>101</v>
      </c>
      <c r="FM99" s="10" t="s">
        <v>102</v>
      </c>
      <c r="FN99" s="10" t="s">
        <v>241</v>
      </c>
      <c r="FO99" s="2"/>
      <c r="FP99" s="2" t="s">
        <v>84</v>
      </c>
      <c r="FQ99" s="2" t="s">
        <v>15</v>
      </c>
      <c r="FR99" s="2" t="s">
        <v>9</v>
      </c>
      <c r="FS99" s="2" t="s">
        <v>235</v>
      </c>
      <c r="FT99" s="2" t="s">
        <v>236</v>
      </c>
      <c r="FU99" s="2" t="s">
        <v>81</v>
      </c>
      <c r="FV99" s="2" t="s">
        <v>70</v>
      </c>
      <c r="FW99" s="2" t="s">
        <v>2</v>
      </c>
      <c r="FX99" s="2" t="s">
        <v>76</v>
      </c>
      <c r="FY99" s="2" t="s">
        <v>94</v>
      </c>
      <c r="FZ99" s="2" t="s">
        <v>95</v>
      </c>
      <c r="GA99" s="2" t="s">
        <v>40</v>
      </c>
      <c r="GB99" s="2" t="s">
        <v>237</v>
      </c>
      <c r="GC99" s="2" t="s">
        <v>107</v>
      </c>
      <c r="GD99" s="2" t="s">
        <v>108</v>
      </c>
      <c r="GE99" s="2" t="s">
        <v>109</v>
      </c>
      <c r="GF99" s="2" t="s">
        <v>243</v>
      </c>
      <c r="GG99" s="2" t="s">
        <v>244</v>
      </c>
      <c r="GH99" s="2" t="s">
        <v>238</v>
      </c>
      <c r="GI99" s="2" t="s">
        <v>103</v>
      </c>
      <c r="GJ99" s="2" t="s">
        <v>147</v>
      </c>
      <c r="GK99" s="2" t="s">
        <v>239</v>
      </c>
      <c r="GL99" s="13" t="s">
        <v>107</v>
      </c>
      <c r="GM99" s="10" t="s">
        <v>108</v>
      </c>
      <c r="GN99" s="10" t="s">
        <v>109</v>
      </c>
      <c r="GO99" s="10" t="s">
        <v>98</v>
      </c>
      <c r="GP99" s="10" t="s">
        <v>99</v>
      </c>
      <c r="GQ99" s="10" t="s">
        <v>132</v>
      </c>
      <c r="GR99" s="10" t="s">
        <v>133</v>
      </c>
      <c r="GS99" s="10" t="s">
        <v>134</v>
      </c>
      <c r="GT99" s="10" t="s">
        <v>100</v>
      </c>
      <c r="GU99" s="10" t="s">
        <v>101</v>
      </c>
      <c r="GV99" s="10" t="s">
        <v>102</v>
      </c>
      <c r="GW99" s="10" t="s">
        <v>241</v>
      </c>
      <c r="GX99" s="2"/>
      <c r="GY99" s="2" t="s">
        <v>84</v>
      </c>
      <c r="GZ99" s="2" t="s">
        <v>15</v>
      </c>
      <c r="HA99" s="2" t="s">
        <v>9</v>
      </c>
      <c r="HB99" s="2" t="s">
        <v>235</v>
      </c>
      <c r="HC99" s="2" t="s">
        <v>236</v>
      </c>
      <c r="HD99" s="2" t="s">
        <v>81</v>
      </c>
      <c r="HE99" s="2" t="s">
        <v>70</v>
      </c>
      <c r="HF99" s="2" t="s">
        <v>2</v>
      </c>
      <c r="HG99" s="2" t="s">
        <v>76</v>
      </c>
      <c r="HH99" s="2" t="s">
        <v>94</v>
      </c>
      <c r="HI99" s="2" t="s">
        <v>95</v>
      </c>
      <c r="HJ99" s="2" t="s">
        <v>40</v>
      </c>
      <c r="HK99" s="2" t="s">
        <v>237</v>
      </c>
      <c r="HL99" s="2" t="s">
        <v>107</v>
      </c>
      <c r="HM99" s="2" t="s">
        <v>108</v>
      </c>
      <c r="HN99" s="2" t="s">
        <v>109</v>
      </c>
      <c r="HO99" s="2" t="s">
        <v>243</v>
      </c>
      <c r="HP99" s="2" t="s">
        <v>244</v>
      </c>
      <c r="HQ99" s="2" t="s">
        <v>238</v>
      </c>
      <c r="HR99" s="2" t="s">
        <v>103</v>
      </c>
      <c r="HS99" s="2" t="s">
        <v>245</v>
      </c>
      <c r="HT99" s="2" t="s">
        <v>246</v>
      </c>
      <c r="HU99" s="2" t="s">
        <v>147</v>
      </c>
      <c r="HV99" s="2" t="s">
        <v>239</v>
      </c>
      <c r="HW99" s="13" t="s">
        <v>107</v>
      </c>
      <c r="HX99" s="10" t="s">
        <v>108</v>
      </c>
      <c r="HY99" s="10" t="s">
        <v>109</v>
      </c>
      <c r="HZ99" s="10" t="s">
        <v>98</v>
      </c>
      <c r="IA99" s="10" t="s">
        <v>99</v>
      </c>
      <c r="IB99" s="10" t="s">
        <v>132</v>
      </c>
      <c r="IC99" s="10" t="s">
        <v>133</v>
      </c>
      <c r="ID99" s="10" t="s">
        <v>134</v>
      </c>
      <c r="IE99" s="10" t="s">
        <v>100</v>
      </c>
      <c r="IF99" s="10" t="s">
        <v>101</v>
      </c>
      <c r="IG99" s="10" t="s">
        <v>102</v>
      </c>
      <c r="IH99" s="10" t="s">
        <v>241</v>
      </c>
      <c r="II99" s="2"/>
      <c r="IJ99" s="2" t="s">
        <v>84</v>
      </c>
      <c r="IK99" s="2" t="s">
        <v>15</v>
      </c>
    </row>
    <row r="100" spans="1:245" ht="15" hidden="1">
      <c r="A100" s="85"/>
      <c r="B100" s="205" t="s">
        <v>152</v>
      </c>
      <c r="C100" s="85">
        <v>2.971111111111111</v>
      </c>
      <c r="D100" s="85">
        <v>-40.31</v>
      </c>
      <c r="E100" s="206">
        <v>315.19647487255611</v>
      </c>
      <c r="F100" s="206">
        <v>-40.235256650552977</v>
      </c>
      <c r="G100" s="206">
        <v>4.3466670024588936</v>
      </c>
      <c r="H100" s="206">
        <v>-8.3684065664796563</v>
      </c>
      <c r="I100" s="85">
        <v>315.19503032553121</v>
      </c>
      <c r="J100" s="85">
        <v>-40.235034950992144</v>
      </c>
      <c r="K100" s="206">
        <v>6879.3916666666664</v>
      </c>
      <c r="L100" s="206">
        <v>357.88510370254517</v>
      </c>
      <c r="M100" s="85">
        <v>0.1883474788957335</v>
      </c>
      <c r="N100" s="201">
        <v>120.75483139982961</v>
      </c>
      <c r="O100" s="201">
        <v>221.12073013566078</v>
      </c>
      <c r="P100" s="201">
        <v>143.90861634613248</v>
      </c>
      <c r="Q100" s="201">
        <v>23.436848872749167</v>
      </c>
      <c r="R100" s="201">
        <v>-13.507532335270433</v>
      </c>
      <c r="S100" s="201">
        <v>-4.5540847601145646</v>
      </c>
      <c r="T100" s="201">
        <v>18.882764112634604</v>
      </c>
      <c r="U100" s="15">
        <v>-3.5501650545457838E-3</v>
      </c>
      <c r="V100" s="15">
        <v>2.1184464625093797</v>
      </c>
      <c r="W100" s="15">
        <v>221.11550983166671</v>
      </c>
      <c r="X100" s="15">
        <v>297.85831014145606</v>
      </c>
      <c r="Y100" s="15">
        <v>-1.709587982626869</v>
      </c>
      <c r="Z100" s="15">
        <v>219.40592184903986</v>
      </c>
      <c r="AA100" s="15">
        <v>4.108545885014129</v>
      </c>
      <c r="AB100" s="15">
        <v>23.436848872749167</v>
      </c>
      <c r="AC100" s="15">
        <v>-14.624802388278441</v>
      </c>
      <c r="AD100" s="15">
        <v>-0.58243789591837991</v>
      </c>
      <c r="AE100" s="15">
        <v>-0.77266796631329648</v>
      </c>
      <c r="AF100" s="15">
        <v>217.0090240289245</v>
      </c>
      <c r="AG100" s="15">
        <v>-177.88510370254517</v>
      </c>
      <c r="AH100" s="15">
        <v>145.10587226853033</v>
      </c>
      <c r="AI100" s="15">
        <v>0</v>
      </c>
      <c r="AJ100" s="21">
        <v>0</v>
      </c>
      <c r="AK100" s="21">
        <v>4.9438972238265215</v>
      </c>
      <c r="AL100" s="15">
        <v>1</v>
      </c>
      <c r="AM100" s="21">
        <v>1.6701080093691669E-2</v>
      </c>
      <c r="AN100" s="21">
        <v>5.1985610093524244</v>
      </c>
      <c r="AO100" s="21">
        <v>5.1836798923952241</v>
      </c>
      <c r="AP100" s="21">
        <v>0.40905016979388231</v>
      </c>
      <c r="AQ100" s="21">
        <v>0.43733576382016831</v>
      </c>
      <c r="AR100" s="21">
        <v>-0.890858641284483</v>
      </c>
      <c r="AS100" s="15">
        <v>5.1687421145790164</v>
      </c>
      <c r="AT100" s="21">
        <v>0.99241709430430769</v>
      </c>
      <c r="AU100" s="22">
        <v>10.112639338405538</v>
      </c>
      <c r="AV100" s="21">
        <v>-0.76674696776393236</v>
      </c>
      <c r="AW100" s="15">
        <v>-0.6300720407161553</v>
      </c>
      <c r="AX100" s="21">
        <v>-0.76674696776393236</v>
      </c>
      <c r="AY100" s="15">
        <v>-0.57809048003581098</v>
      </c>
      <c r="AZ100" s="15">
        <v>-0.25060361805885029</v>
      </c>
      <c r="BA100" s="15">
        <v>37.014543370766887</v>
      </c>
      <c r="BB100" s="15">
        <v>0.96025492223847475</v>
      </c>
      <c r="BC100" s="15">
        <v>-14.626590774754717</v>
      </c>
      <c r="BD100" s="19">
        <v>-4.1756412127198148</v>
      </c>
      <c r="BE100" s="2">
        <v>8.9804171332116239E-2</v>
      </c>
      <c r="BF100" s="19">
        <v>25.289617170473619</v>
      </c>
      <c r="BG100" s="2">
        <v>60.266599999999997</v>
      </c>
      <c r="BH100" s="19">
        <v>5.4899999999999997E-2</v>
      </c>
      <c r="BI100" s="19">
        <v>0.247252433371969</v>
      </c>
      <c r="BJ100" s="19">
        <v>0.26140392591841694</v>
      </c>
      <c r="BK100" s="19">
        <v>54.910592981806737</v>
      </c>
      <c r="BL100" s="19">
        <v>15.551632097276865</v>
      </c>
      <c r="BM100" s="2">
        <v>0.27598964276663979</v>
      </c>
      <c r="BN100" s="19">
        <v>57.070364310232812</v>
      </c>
      <c r="BO100" s="19">
        <v>-46.981147737056581</v>
      </c>
      <c r="BP100" s="19">
        <v>32.329378507100962</v>
      </c>
      <c r="BQ100" s="19">
        <v>2.1469804740975009</v>
      </c>
      <c r="BR100" s="2">
        <v>145.46677345579371</v>
      </c>
      <c r="BS100" s="2">
        <v>57.029965433502923</v>
      </c>
      <c r="BT100" s="2">
        <v>2.1559693131993889</v>
      </c>
      <c r="BU100" s="2">
        <v>10.142458233178946</v>
      </c>
      <c r="BV100" s="2">
        <v>21.361228391125774</v>
      </c>
      <c r="BW100" s="2">
        <v>11.218770157946828</v>
      </c>
      <c r="BX100" s="19">
        <v>25.536869603845588</v>
      </c>
      <c r="BY100" s="2">
        <v>-0.25202996887903245</v>
      </c>
      <c r="BZ100" s="19">
        <v>-0.5360975591774102</v>
      </c>
      <c r="CA100" s="19">
        <v>-0.37164976384146065</v>
      </c>
      <c r="CB100" s="19">
        <v>-0.36881218447703656</v>
      </c>
      <c r="CC100" s="19">
        <v>-0.42348020934590674</v>
      </c>
      <c r="CD100" s="19">
        <v>-0.45736541506737249</v>
      </c>
      <c r="CE100" s="19">
        <v>-0.50332902302628757</v>
      </c>
      <c r="CF100" s="19">
        <v>-0.46349365988911007</v>
      </c>
      <c r="CG100" s="19">
        <v>-0.42936183372619768</v>
      </c>
      <c r="CH100" s="19">
        <v>-0.40633235633204318</v>
      </c>
      <c r="CI100" s="19">
        <v>-0.40102207019099478</v>
      </c>
      <c r="CJ100" s="19">
        <v>-0.40763992004698524</v>
      </c>
      <c r="CK100" s="2">
        <v>2.5317594902889038</v>
      </c>
      <c r="CL100" s="19">
        <v>-7.3093858073107528E-3</v>
      </c>
      <c r="CM100" s="19">
        <v>-3.8512887191594271E-2</v>
      </c>
      <c r="CN100" s="19">
        <v>-2.9149290190864409E-2</v>
      </c>
      <c r="CO100" s="19">
        <v>-5.3952868041430728E-2</v>
      </c>
      <c r="CP100" s="19">
        <v>-4.065076604922508E-2</v>
      </c>
      <c r="CQ100" s="2">
        <v>3.6919273376273272E-2</v>
      </c>
      <c r="CR100" s="19">
        <v>57.638901890891226</v>
      </c>
      <c r="CS100" s="19">
        <v>58.053826815493714</v>
      </c>
      <c r="CT100" s="19">
        <v>-47.556822757621404</v>
      </c>
      <c r="CU100" s="19">
        <v>33.226551839271231</v>
      </c>
      <c r="CV100" s="19">
        <v>2.1428182367484259</v>
      </c>
      <c r="CW100" s="15">
        <v>-47.556822757621404</v>
      </c>
      <c r="CX100" s="15">
        <v>29.633048434438635</v>
      </c>
      <c r="CY100" s="21">
        <v>15.181497212255911</v>
      </c>
      <c r="CZ100" s="15">
        <v>148.07262607712485</v>
      </c>
      <c r="DA100" s="15">
        <v>56.033641237363852</v>
      </c>
      <c r="DB100" s="15">
        <v>15.159516459218745</v>
      </c>
      <c r="DC100" s="15">
        <v>214.04227022033001</v>
      </c>
      <c r="DD100" s="15">
        <v>0.86747475942866936</v>
      </c>
      <c r="DE100" s="15">
        <v>3.228121749711111E-2</v>
      </c>
      <c r="DF100" s="15">
        <v>5.0039145243654986</v>
      </c>
      <c r="DG100" s="15">
        <v>1.5236879999999999</v>
      </c>
      <c r="DH100" s="15">
        <v>9.3422312323433329E-2</v>
      </c>
      <c r="DI100" s="15">
        <v>0.42467865999762466</v>
      </c>
      <c r="DJ100" s="21">
        <v>0.46644790321336665</v>
      </c>
      <c r="DK100" s="21">
        <v>1.2185680210202579</v>
      </c>
      <c r="DL100" s="21">
        <v>0.68223083803554663</v>
      </c>
      <c r="DM100" s="15">
        <v>0.51038382864646026</v>
      </c>
      <c r="DN100" s="21">
        <v>1.3965482226618284</v>
      </c>
      <c r="DO100" s="21">
        <v>1.3893809392452945</v>
      </c>
      <c r="DP100" s="21">
        <v>0.13778690357959786</v>
      </c>
      <c r="DQ100" s="21">
        <v>-3.1341874285409188E-2</v>
      </c>
      <c r="DR100" s="15">
        <v>5.6636883442359114</v>
      </c>
      <c r="DS100" s="15">
        <v>1.3961964851467683</v>
      </c>
      <c r="DT100" s="15">
        <v>-1.285961963691326</v>
      </c>
      <c r="DU100" s="21">
        <v>1.0221291743523049E-4</v>
      </c>
      <c r="DV100" s="21">
        <v>1.3893806934378685</v>
      </c>
      <c r="DW100" s="21">
        <v>0.13778938216821068</v>
      </c>
      <c r="DX100" s="21">
        <v>-3.1341874285409181E-2</v>
      </c>
      <c r="DY100" s="10">
        <v>-0.76674584374446797</v>
      </c>
      <c r="DZ100" s="10">
        <v>-0.63007340855489935</v>
      </c>
      <c r="EA100" s="10">
        <v>0.62263484969340055</v>
      </c>
      <c r="EB100" s="15">
        <v>-0.49228402638668867</v>
      </c>
      <c r="EC100" s="15">
        <v>-3.1341874285409181E-2</v>
      </c>
      <c r="ED100" s="15">
        <v>0.62263484969340055</v>
      </c>
      <c r="EE100" s="21">
        <v>-0.43920425416887326</v>
      </c>
      <c r="EF100" s="15">
        <v>-0.22455622645381304</v>
      </c>
      <c r="EG100" s="15">
        <v>-35.198997420610809</v>
      </c>
      <c r="EH100" s="15">
        <v>0.76195441657146379</v>
      </c>
      <c r="EI100" s="15">
        <v>-16.420816774331573</v>
      </c>
      <c r="EJ100" s="15">
        <v>37.313893718065628</v>
      </c>
      <c r="EK100" s="19">
        <v>1.3412781283490751</v>
      </c>
      <c r="EL100" s="19">
        <v>5.9250249379113558E-2</v>
      </c>
      <c r="EM100" s="19">
        <v>0.95969047140362851</v>
      </c>
      <c r="EN100" s="19">
        <v>0.72333000000000003</v>
      </c>
      <c r="EO100" s="2">
        <v>6.7640410790500002E-3</v>
      </c>
      <c r="EP100" s="19">
        <v>4.7488613001002733</v>
      </c>
      <c r="EQ100" s="19">
        <v>4.7421000901767565</v>
      </c>
      <c r="ER100" s="19">
        <v>1.6595141497465403E-2</v>
      </c>
      <c r="ES100" s="19">
        <v>-0.72299422381539213</v>
      </c>
      <c r="ET100" s="2">
        <v>4.7353383034262793</v>
      </c>
      <c r="EU100" s="19">
        <v>0.72318465580496261</v>
      </c>
      <c r="EV100" s="19">
        <v>0.5269191636530508</v>
      </c>
      <c r="EW100" s="19">
        <v>0.49476025562402887</v>
      </c>
      <c r="EX100" s="19">
        <v>-2.3759857359782317E-2</v>
      </c>
      <c r="EY100" s="2">
        <v>43.197225978956382</v>
      </c>
      <c r="EZ100" s="2">
        <v>0.72279424151689597</v>
      </c>
      <c r="FA100" s="2">
        <v>-1.8827619827082092</v>
      </c>
      <c r="FB100" s="19">
        <v>1.0221291743523049E-4</v>
      </c>
      <c r="FC100" s="19">
        <v>0.52691828102369087</v>
      </c>
      <c r="FD100" s="19">
        <v>0.49476119562170973</v>
      </c>
      <c r="FE100" s="19">
        <v>-2.3759857359782317E-2</v>
      </c>
      <c r="FF100" s="13">
        <v>-0.76674584374446797</v>
      </c>
      <c r="FG100" s="13">
        <v>-0.63007340855489935</v>
      </c>
      <c r="FH100" s="13">
        <v>-0.2398275627207771</v>
      </c>
      <c r="FI100" s="2">
        <v>-0.13531221293318962</v>
      </c>
      <c r="FJ100" s="2">
        <v>-2.3759857359782317E-2</v>
      </c>
      <c r="FK100" s="2">
        <v>-0.2398275627207771</v>
      </c>
      <c r="FL100" s="19">
        <v>-0.11469862300787173</v>
      </c>
      <c r="FM100" s="2">
        <v>-7.5618461176700541E-2</v>
      </c>
      <c r="FN100" s="23">
        <v>205.55967047477864</v>
      </c>
      <c r="FO100" s="2">
        <v>0.26584400305534478</v>
      </c>
      <c r="FP100" s="23">
        <v>-15.878229787721308</v>
      </c>
      <c r="FQ100" s="2">
        <v>156.55522582267622</v>
      </c>
      <c r="FR100" s="19">
        <v>1.7565813938384094</v>
      </c>
      <c r="FS100" s="19">
        <v>2.2722941484201835E-2</v>
      </c>
      <c r="FT100" s="19">
        <v>4.7820432226740586</v>
      </c>
      <c r="FU100" s="19">
        <v>5.2025600000000001</v>
      </c>
      <c r="FV100" s="19">
        <v>4.8528750704858334E-2</v>
      </c>
      <c r="FW100" s="19">
        <v>4.0421118457374146</v>
      </c>
      <c r="FX100" s="19">
        <v>4.0052287590840168</v>
      </c>
      <c r="FY100" s="19">
        <v>-3.632460253529588</v>
      </c>
      <c r="FZ100" s="19">
        <v>-3.9503776295099189</v>
      </c>
      <c r="GA100" s="2">
        <v>3.9688921869789402</v>
      </c>
      <c r="GB100" s="19">
        <v>5.3665865230334866</v>
      </c>
      <c r="GC100" s="19">
        <v>-2.5156021415073528</v>
      </c>
      <c r="GD100" s="19">
        <v>-4.7398531288500063</v>
      </c>
      <c r="GE100" s="19">
        <v>7.6086081375405804E-2</v>
      </c>
      <c r="GF100" s="19">
        <v>242.04368122572217</v>
      </c>
      <c r="GG100" s="19">
        <v>8.6750499277329206E-3</v>
      </c>
      <c r="GH100" s="2">
        <v>242.05235627564991</v>
      </c>
      <c r="GI100" s="2">
        <v>5.3660471314949865</v>
      </c>
      <c r="GJ100" s="2">
        <v>0.81235201992347295</v>
      </c>
      <c r="GK100" s="19">
        <v>1.0221291743523049E-4</v>
      </c>
      <c r="GL100" s="19">
        <v>-2.5148760037673785</v>
      </c>
      <c r="GM100" s="19">
        <v>-4.740238443696752</v>
      </c>
      <c r="GN100" s="19">
        <v>7.6086081375405817E-2</v>
      </c>
      <c r="GO100" s="13">
        <v>-0.76674584374446797</v>
      </c>
      <c r="GP100" s="13">
        <v>-0.63007340855489935</v>
      </c>
      <c r="GQ100" s="13">
        <v>-3.2816218475118464</v>
      </c>
      <c r="GR100" s="2">
        <v>-5.3703118522516515</v>
      </c>
      <c r="GS100" s="2">
        <v>7.6086081375405817E-2</v>
      </c>
      <c r="GT100" s="2">
        <v>-3.2816218475118464</v>
      </c>
      <c r="GU100" s="19">
        <v>-4.9575181723553463</v>
      </c>
      <c r="GV100" s="2">
        <v>-2.0661684473876143</v>
      </c>
      <c r="GW100" s="23">
        <v>236.49749145403931</v>
      </c>
      <c r="GX100" s="2">
        <v>5.9452525917155574</v>
      </c>
      <c r="GY100" s="23">
        <v>-19.164000396260899</v>
      </c>
      <c r="GZ100" s="2">
        <v>125.61740484341556</v>
      </c>
      <c r="HA100" s="19">
        <v>1.98667058056274</v>
      </c>
      <c r="HB100" s="19">
        <v>4.3421281580483292E-2</v>
      </c>
      <c r="HC100" s="19">
        <v>5.927115752599172</v>
      </c>
      <c r="HD100" s="19">
        <v>9.5547500000000003</v>
      </c>
      <c r="HE100" s="19">
        <v>5.5480638410058333E-2</v>
      </c>
      <c r="HF100" s="2">
        <v>3.2653907968345113</v>
      </c>
      <c r="HG100" s="19">
        <v>3.2589171092245741</v>
      </c>
      <c r="HH100" s="19">
        <v>-10.019168328285648</v>
      </c>
      <c r="HI100" s="19">
        <v>-1.1167131764698788</v>
      </c>
      <c r="HJ100" s="2">
        <v>3.2525921961893642</v>
      </c>
      <c r="HK100" s="19">
        <v>10.081209367383641</v>
      </c>
      <c r="HL100" s="19">
        <v>1.7156619173538186</v>
      </c>
      <c r="HM100" s="19">
        <v>-9.9335801121976761</v>
      </c>
      <c r="HN100" s="19">
        <v>0.10617273151003093</v>
      </c>
      <c r="HO100" s="19">
        <v>-80.200823618827272</v>
      </c>
      <c r="HP100" s="19">
        <v>-0.13097716731752218</v>
      </c>
      <c r="HQ100" s="2">
        <v>-80.331800786144797</v>
      </c>
      <c r="HR100" s="2">
        <v>10.080650259785198</v>
      </c>
      <c r="HS100" s="2">
        <v>0.60343572437162174</v>
      </c>
      <c r="HT100" s="2">
        <v>-2.2780450274066258E-3</v>
      </c>
      <c r="HU100" s="2">
        <v>0.60115767934421516</v>
      </c>
      <c r="HV100" s="19">
        <v>1.0221291743523049E-4</v>
      </c>
      <c r="HW100" s="19">
        <v>1.6929678965112187</v>
      </c>
      <c r="HX100" s="19">
        <v>-9.9374772608055437</v>
      </c>
      <c r="HY100" s="19">
        <v>0.10577193095901893</v>
      </c>
      <c r="HZ100" s="13">
        <v>-0.76674584374446797</v>
      </c>
      <c r="IA100" s="13">
        <v>-0.63007340855489935</v>
      </c>
      <c r="IB100" s="13">
        <v>0.92622205276675074</v>
      </c>
      <c r="IC100" s="2">
        <v>-10.567550669360443</v>
      </c>
      <c r="ID100" s="2">
        <v>0.10577193095901893</v>
      </c>
      <c r="IE100" s="2">
        <v>0.92622205276675074</v>
      </c>
      <c r="IF100" s="19">
        <v>-9.7377868675691968</v>
      </c>
      <c r="IG100" s="2">
        <v>-4.1060713306853396</v>
      </c>
      <c r="IH100" s="23">
        <v>-84.56658486588799</v>
      </c>
      <c r="II100" s="2">
        <v>9.7817370834241171</v>
      </c>
      <c r="IJ100" s="23">
        <v>-22.771160759068493</v>
      </c>
      <c r="IK100" s="2">
        <v>86.681481163342823</v>
      </c>
    </row>
    <row r="101" spans="1:245" ht="15" hidden="1">
      <c r="A101" s="85"/>
      <c r="B101" s="206" t="s">
        <v>153</v>
      </c>
      <c r="C101" s="85">
        <v>1.6286111111111112</v>
      </c>
      <c r="D101" s="85">
        <v>-57.243333333333332</v>
      </c>
      <c r="E101" s="206">
        <v>335.33399597325536</v>
      </c>
      <c r="F101" s="206">
        <v>-57.147813214929286</v>
      </c>
      <c r="G101" s="206">
        <v>4.3466670024588936</v>
      </c>
      <c r="H101" s="206">
        <v>-8.3684065664796563</v>
      </c>
      <c r="I101" s="85">
        <v>335.33066578379402</v>
      </c>
      <c r="J101" s="85">
        <v>-57.147441974300776</v>
      </c>
      <c r="K101" s="206">
        <v>6879.3916782407405</v>
      </c>
      <c r="L101" s="206">
        <v>357.88092562789097</v>
      </c>
      <c r="M101" s="85">
        <v>0.18834747921261438</v>
      </c>
      <c r="N101" s="201">
        <v>120.75483078693875</v>
      </c>
      <c r="O101" s="201">
        <v>221.12074154361653</v>
      </c>
      <c r="P101" s="201">
        <v>143.90876885071339</v>
      </c>
      <c r="Q101" s="201">
        <v>23.436848872745042</v>
      </c>
      <c r="R101" s="201">
        <v>-13.507531985895296</v>
      </c>
      <c r="S101" s="201">
        <v>-4.5540843919455236</v>
      </c>
      <c r="T101" s="201">
        <v>18.882764480799519</v>
      </c>
      <c r="U101" s="15">
        <v>-3.5501649549173095E-3</v>
      </c>
      <c r="V101" s="15">
        <v>2.1226245370639432</v>
      </c>
      <c r="W101" s="15">
        <v>221.11552123962247</v>
      </c>
      <c r="X101" s="15">
        <v>297.85832154886702</v>
      </c>
      <c r="Y101" s="15">
        <v>-1.7095878089501531</v>
      </c>
      <c r="Z101" s="15">
        <v>219.40593343067232</v>
      </c>
      <c r="AA101" s="15">
        <v>4.1085459444020707</v>
      </c>
      <c r="AB101" s="15">
        <v>23.436848872745042</v>
      </c>
      <c r="AC101" s="15">
        <v>-14.624806066718266</v>
      </c>
      <c r="AD101" s="15">
        <v>-0.58243803921821169</v>
      </c>
      <c r="AE101" s="15">
        <v>-0.77266783799422245</v>
      </c>
      <c r="AF101" s="15">
        <v>217.00903537860773</v>
      </c>
      <c r="AG101" s="15">
        <v>-177.88092562789097</v>
      </c>
      <c r="AH101" s="15">
        <v>145.11003899350129</v>
      </c>
      <c r="AI101" s="15">
        <v>0</v>
      </c>
      <c r="AJ101" s="21">
        <v>0</v>
      </c>
      <c r="AK101" s="21">
        <v>4.9438972238360348</v>
      </c>
      <c r="AL101" s="15">
        <v>1</v>
      </c>
      <c r="AM101" s="21">
        <v>1.6701080093678346E-2</v>
      </c>
      <c r="AN101" s="21">
        <v>5.1985612084492843</v>
      </c>
      <c r="AO101" s="21">
        <v>5.1836800930144626</v>
      </c>
      <c r="AP101" s="21">
        <v>0.40905016979381031</v>
      </c>
      <c r="AQ101" s="21">
        <v>0.43733594256848529</v>
      </c>
      <c r="AR101" s="21">
        <v>-0.89085855020864368</v>
      </c>
      <c r="AS101" s="15">
        <v>5.1687423167029731</v>
      </c>
      <c r="AT101" s="21">
        <v>0.992417091319024</v>
      </c>
      <c r="AU101" s="22">
        <v>10.112639540539007</v>
      </c>
      <c r="AV101" s="21">
        <v>-0.76674683809882294</v>
      </c>
      <c r="AW101" s="15">
        <v>-0.63007219380605062</v>
      </c>
      <c r="AX101" s="21">
        <v>-0.76674683809882294</v>
      </c>
      <c r="AY101" s="15">
        <v>-0.57809062049565796</v>
      </c>
      <c r="AZ101" s="15">
        <v>-0.25060367894848345</v>
      </c>
      <c r="BA101" s="15">
        <v>37.014554720402003</v>
      </c>
      <c r="BB101" s="15">
        <v>0.96025490326246055</v>
      </c>
      <c r="BC101" s="15">
        <v>-14.626594452851814</v>
      </c>
      <c r="BD101" s="19">
        <v>-4.1756412234167861</v>
      </c>
      <c r="BE101" s="2">
        <v>8.9804171332116239E-2</v>
      </c>
      <c r="BF101" s="19">
        <v>25.289617203674737</v>
      </c>
      <c r="BG101" s="2">
        <v>60.266599999999997</v>
      </c>
      <c r="BH101" s="19">
        <v>5.4899999999999997E-2</v>
      </c>
      <c r="BI101" s="19">
        <v>0.24725507257507218</v>
      </c>
      <c r="BJ101" s="19">
        <v>0.26140671260898191</v>
      </c>
      <c r="BK101" s="19">
        <v>54.910549578536283</v>
      </c>
      <c r="BL101" s="19">
        <v>15.551794091514081</v>
      </c>
      <c r="BM101" s="2">
        <v>0.27599258108813363</v>
      </c>
      <c r="BN101" s="19">
        <v>57.070366693072366</v>
      </c>
      <c r="BO101" s="19">
        <v>-46.981244740401685</v>
      </c>
      <c r="BP101" s="19">
        <v>32.329240824667316</v>
      </c>
      <c r="BQ101" s="19">
        <v>2.1469943700175147</v>
      </c>
      <c r="BR101" s="2">
        <v>145.46694265285595</v>
      </c>
      <c r="BS101" s="2">
        <v>57.029967294895556</v>
      </c>
      <c r="BT101" s="2">
        <v>2.1559831838271735</v>
      </c>
      <c r="BU101" s="2">
        <v>10.14245843228532</v>
      </c>
      <c r="BV101" s="2">
        <v>21.361231052833023</v>
      </c>
      <c r="BW101" s="2">
        <v>11.218772620547703</v>
      </c>
      <c r="BX101" s="19">
        <v>25.536872276249809</v>
      </c>
      <c r="BY101" s="2">
        <v>-0.25203282368424068</v>
      </c>
      <c r="BZ101" s="19">
        <v>-0.53610333719990999</v>
      </c>
      <c r="CA101" s="19">
        <v>-0.37165555916698445</v>
      </c>
      <c r="CB101" s="19">
        <v>-0.36881795898761288</v>
      </c>
      <c r="CC101" s="19">
        <v>-0.42348601753297543</v>
      </c>
      <c r="CD101" s="19">
        <v>-0.45737153152434712</v>
      </c>
      <c r="CE101" s="19">
        <v>-0.50333514812873559</v>
      </c>
      <c r="CF101" s="19">
        <v>-0.46349976131587467</v>
      </c>
      <c r="CG101" s="19">
        <v>-0.42936795423122159</v>
      </c>
      <c r="CH101" s="19">
        <v>-0.40633853573740114</v>
      </c>
      <c r="CI101" s="19">
        <v>-0.40102824370987011</v>
      </c>
      <c r="CJ101" s="19">
        <v>-0.40764615692750855</v>
      </c>
      <c r="CK101" s="2">
        <v>2.5317623344806246</v>
      </c>
      <c r="CL101" s="19">
        <v>-7.3097751932466549E-3</v>
      </c>
      <c r="CM101" s="19">
        <v>-3.8513501151828604E-2</v>
      </c>
      <c r="CN101" s="19">
        <v>-2.9149886748587275E-2</v>
      </c>
      <c r="CO101" s="19">
        <v>-5.3953629972077775E-2</v>
      </c>
      <c r="CP101" s="19">
        <v>-4.0651443816510965E-2</v>
      </c>
      <c r="CQ101" s="2">
        <v>3.6919503635126728E-2</v>
      </c>
      <c r="CR101" s="19">
        <v>57.638904011436288</v>
      </c>
      <c r="CS101" s="19">
        <v>58.053827957946375</v>
      </c>
      <c r="CT101" s="19">
        <v>-47.556917791528711</v>
      </c>
      <c r="CU101" s="19">
        <v>33.22641694969775</v>
      </c>
      <c r="CV101" s="19">
        <v>2.1428316372161018</v>
      </c>
      <c r="CW101" s="15">
        <v>-47.556917791528711</v>
      </c>
      <c r="CX101" s="15">
        <v>29.632919343512484</v>
      </c>
      <c r="CY101" s="21">
        <v>15.181455856455269</v>
      </c>
      <c r="CZ101" s="15">
        <v>148.07278949701751</v>
      </c>
      <c r="DA101" s="15">
        <v>56.033653625739383</v>
      </c>
      <c r="DB101" s="15">
        <v>15.159473866409082</v>
      </c>
      <c r="DC101" s="15">
        <v>214.04628487509149</v>
      </c>
      <c r="DD101" s="15">
        <v>0.86747475943293328</v>
      </c>
      <c r="DE101" s="15">
        <v>3.2281217497107516E-2</v>
      </c>
      <c r="DF101" s="15">
        <v>5.0039145243714165</v>
      </c>
      <c r="DG101" s="15">
        <v>1.5236879999999999</v>
      </c>
      <c r="DH101" s="15">
        <v>9.3422312323462459E-2</v>
      </c>
      <c r="DI101" s="15">
        <v>0.42467876585280351</v>
      </c>
      <c r="DJ101" s="21">
        <v>0.46644801868953378</v>
      </c>
      <c r="DK101" s="21">
        <v>1.2185679418927438</v>
      </c>
      <c r="DL101" s="21">
        <v>0.68223099450142977</v>
      </c>
      <c r="DM101" s="15">
        <v>0.51038395408442505</v>
      </c>
      <c r="DN101" s="21">
        <v>1.3965482300540599</v>
      </c>
      <c r="DO101" s="21">
        <v>1.389380929405541</v>
      </c>
      <c r="DP101" s="21">
        <v>0.13778707861017747</v>
      </c>
      <c r="DQ101" s="21">
        <v>-3.1341870387633988E-2</v>
      </c>
      <c r="DR101" s="15">
        <v>5.6636955313180426</v>
      </c>
      <c r="DS101" s="15">
        <v>1.3961964926283592</v>
      </c>
      <c r="DT101" s="15">
        <v>-1.2859617969301289</v>
      </c>
      <c r="DU101" s="21">
        <v>1.0221247484958321E-4</v>
      </c>
      <c r="DV101" s="21">
        <v>1.3893806835988673</v>
      </c>
      <c r="DW101" s="21">
        <v>0.1377895571880404</v>
      </c>
      <c r="DX101" s="21">
        <v>-3.1341870387633988E-2</v>
      </c>
      <c r="DY101" s="10">
        <v>-0.76674571408395287</v>
      </c>
      <c r="DZ101" s="10">
        <v>-0.63007356163864003</v>
      </c>
      <c r="EA101" s="10">
        <v>0.62263496951491448</v>
      </c>
      <c r="EB101" s="15">
        <v>-0.49228400445059961</v>
      </c>
      <c r="EC101" s="15">
        <v>-3.1341870387633988E-2</v>
      </c>
      <c r="ED101" s="15">
        <v>0.62263496951491448</v>
      </c>
      <c r="EE101" s="21">
        <v>-0.43920423559284277</v>
      </c>
      <c r="EF101" s="15">
        <v>-0.22455621415275925</v>
      </c>
      <c r="EG101" s="15">
        <v>-35.19899108560702</v>
      </c>
      <c r="EH101" s="15">
        <v>0.76195450377665708</v>
      </c>
      <c r="EI101" s="15">
        <v>-16.420814145144746</v>
      </c>
      <c r="EJ101" s="15">
        <v>37.318065457716045</v>
      </c>
      <c r="EK101" s="19">
        <v>1.3412781283540562</v>
      </c>
      <c r="EL101" s="19">
        <v>5.9250249379119116E-2</v>
      </c>
      <c r="EM101" s="19">
        <v>0.95969047140642372</v>
      </c>
      <c r="EN101" s="19">
        <v>0.72333000000000003</v>
      </c>
      <c r="EO101" s="2">
        <v>6.7640410790349307E-3</v>
      </c>
      <c r="EP101" s="19">
        <v>4.7488616237397281</v>
      </c>
      <c r="EQ101" s="19">
        <v>4.7421004138812828</v>
      </c>
      <c r="ER101" s="19">
        <v>1.6595375539331946E-2</v>
      </c>
      <c r="ES101" s="19">
        <v>-0.72299421685982335</v>
      </c>
      <c r="ET101" s="2">
        <v>4.7353386271884723</v>
      </c>
      <c r="EU101" s="19">
        <v>0.72318465422189426</v>
      </c>
      <c r="EV101" s="19">
        <v>0.52691900269579905</v>
      </c>
      <c r="EW101" s="19">
        <v>0.49476042528577663</v>
      </c>
      <c r="EX101" s="19">
        <v>-2.3759845772705013E-2</v>
      </c>
      <c r="EY101" s="2">
        <v>43.197244516624757</v>
      </c>
      <c r="EZ101" s="2">
        <v>0.72279424031386552</v>
      </c>
      <c r="FA101" s="2">
        <v>-1.8827610683254081</v>
      </c>
      <c r="FB101" s="19">
        <v>1.0221247484958321E-4</v>
      </c>
      <c r="FC101" s="19">
        <v>0.5269181200699582</v>
      </c>
      <c r="FD101" s="19">
        <v>0.49476136527910014</v>
      </c>
      <c r="FE101" s="19">
        <v>-2.3759845772705013E-2</v>
      </c>
      <c r="FF101" s="13">
        <v>-0.76674571408395287</v>
      </c>
      <c r="FG101" s="13">
        <v>-0.63007356163864003</v>
      </c>
      <c r="FH101" s="13">
        <v>-0.23982759401399467</v>
      </c>
      <c r="FI101" s="2">
        <v>-0.13531219635953989</v>
      </c>
      <c r="FJ101" s="2">
        <v>-2.3759845772705013E-2</v>
      </c>
      <c r="FK101" s="2">
        <v>-0.23982759401399467</v>
      </c>
      <c r="FL101" s="19">
        <v>-0.11469861241019136</v>
      </c>
      <c r="FM101" s="2">
        <v>-7.5618443953589173E-2</v>
      </c>
      <c r="FN101" s="23">
        <v>205.55966550435468</v>
      </c>
      <c r="FO101" s="2">
        <v>0.26584402671371937</v>
      </c>
      <c r="FP101" s="23">
        <v>-15.878225011769311</v>
      </c>
      <c r="FQ101" s="2">
        <v>156.55940886775431</v>
      </c>
      <c r="FR101" s="19">
        <v>1.7565813938440022</v>
      </c>
      <c r="FS101" s="19">
        <v>2.2722941484170384E-2</v>
      </c>
      <c r="FT101" s="19">
        <v>4.7820432226773812</v>
      </c>
      <c r="FU101" s="19">
        <v>5.2025600000000001</v>
      </c>
      <c r="FV101" s="19">
        <v>4.8528750704910056E-2</v>
      </c>
      <c r="FW101" s="19">
        <v>4.0421118625211196</v>
      </c>
      <c r="FX101" s="19">
        <v>4.0052287753526983</v>
      </c>
      <c r="FY101" s="19">
        <v>-3.6324601891866113</v>
      </c>
      <c r="FZ101" s="19">
        <v>-3.9503776844330445</v>
      </c>
      <c r="GA101" s="2">
        <v>3.9688922027317592</v>
      </c>
      <c r="GB101" s="19">
        <v>5.3665865199111638</v>
      </c>
      <c r="GC101" s="19">
        <v>-2.5156020653497011</v>
      </c>
      <c r="GD101" s="19">
        <v>-4.7398531657591123</v>
      </c>
      <c r="GE101" s="19">
        <v>7.6086079829741249E-2</v>
      </c>
      <c r="GF101" s="19">
        <v>242.04368212830877</v>
      </c>
      <c r="GG101" s="19">
        <v>8.6750500210566323E-3</v>
      </c>
      <c r="GH101" s="2">
        <v>242.05235717832983</v>
      </c>
      <c r="GI101" s="2">
        <v>5.3660471283942668</v>
      </c>
      <c r="GJ101" s="2">
        <v>0.8123520038923584</v>
      </c>
      <c r="GK101" s="19">
        <v>1.0221247484958321E-4</v>
      </c>
      <c r="GL101" s="19">
        <v>-2.5148759276329749</v>
      </c>
      <c r="GM101" s="19">
        <v>-4.7402384805788564</v>
      </c>
      <c r="GN101" s="19">
        <v>7.6086079829741249E-2</v>
      </c>
      <c r="GO101" s="13">
        <v>-0.76674571408395287</v>
      </c>
      <c r="GP101" s="13">
        <v>-0.63007356163864003</v>
      </c>
      <c r="GQ101" s="13">
        <v>-3.2816216417169279</v>
      </c>
      <c r="GR101" s="2">
        <v>-5.3703120422174964</v>
      </c>
      <c r="GS101" s="2">
        <v>7.6086079829741249E-2</v>
      </c>
      <c r="GT101" s="2">
        <v>-3.2816216417169279</v>
      </c>
      <c r="GU101" s="19">
        <v>-4.9575183460342007</v>
      </c>
      <c r="GV101" s="2">
        <v>-2.0661685243620473</v>
      </c>
      <c r="GW101" s="23">
        <v>236.49749403171575</v>
      </c>
      <c r="GX101" s="2">
        <v>5.9452526229463611</v>
      </c>
      <c r="GY101" s="23">
        <v>-19.164000964812566</v>
      </c>
      <c r="GZ101" s="2">
        <v>125.62158034039328</v>
      </c>
      <c r="HA101" s="19">
        <v>1.9866705805675675</v>
      </c>
      <c r="HB101" s="19">
        <v>4.3421281580461456E-2</v>
      </c>
      <c r="HC101" s="19">
        <v>5.9271157526051841</v>
      </c>
      <c r="HD101" s="19">
        <v>9.5547500000000003</v>
      </c>
      <c r="HE101" s="19">
        <v>5.5480638409948387E-2</v>
      </c>
      <c r="HF101" s="2">
        <v>3.2653908035904369</v>
      </c>
      <c r="HG101" s="19">
        <v>3.2589171156287184</v>
      </c>
      <c r="HH101" s="19">
        <v>-10.019168321121972</v>
      </c>
      <c r="HI101" s="19">
        <v>-1.1167132371456261</v>
      </c>
      <c r="HJ101" s="2">
        <v>3.2525922022497356</v>
      </c>
      <c r="HK101" s="19">
        <v>10.08120936698521</v>
      </c>
      <c r="HL101" s="19">
        <v>1.7156619775493605</v>
      </c>
      <c r="HM101" s="19">
        <v>-9.9335801014243206</v>
      </c>
      <c r="HN101" s="19">
        <v>0.10617272893044344</v>
      </c>
      <c r="HO101" s="19">
        <v>-80.200823271704252</v>
      </c>
      <c r="HP101" s="19">
        <v>-0.13097716637456339</v>
      </c>
      <c r="HQ101" s="2">
        <v>-80.331800438078815</v>
      </c>
      <c r="HR101" s="2">
        <v>10.080650259413913</v>
      </c>
      <c r="HS101" s="2">
        <v>0.60343570973377114</v>
      </c>
      <c r="HT101" s="2">
        <v>-2.2780450252223696E-3</v>
      </c>
      <c r="HU101" s="2">
        <v>0.60115766470854881</v>
      </c>
      <c r="HV101" s="19">
        <v>1.0221247484958321E-4</v>
      </c>
      <c r="HW101" s="19">
        <v>1.6929679568179996</v>
      </c>
      <c r="HX101" s="19">
        <v>-9.9374772501548225</v>
      </c>
      <c r="HY101" s="19">
        <v>0.1057719283798305</v>
      </c>
      <c r="HZ101" s="13">
        <v>-0.76674571408395287</v>
      </c>
      <c r="IA101" s="13">
        <v>-0.63007356163864003</v>
      </c>
      <c r="IB101" s="13">
        <v>0.92622224273404674</v>
      </c>
      <c r="IC101" s="2">
        <v>-10.567550811793463</v>
      </c>
      <c r="ID101" s="2">
        <v>0.1057719283798305</v>
      </c>
      <c r="IE101" s="2">
        <v>0.92622224273404674</v>
      </c>
      <c r="IF101" s="19">
        <v>-9.7377869972258058</v>
      </c>
      <c r="IG101" s="2">
        <v>-4.1060713897020724</v>
      </c>
      <c r="IH101" s="23">
        <v>-84.566583830080461</v>
      </c>
      <c r="II101" s="2">
        <v>9.781737230485966</v>
      </c>
      <c r="IJ101" s="23">
        <v>-22.771160745546528</v>
      </c>
      <c r="IK101" s="2">
        <v>86.685658202189472</v>
      </c>
    </row>
    <row r="102" spans="1:245" ht="15" hidden="1">
      <c r="A102" s="85"/>
      <c r="B102" s="205" t="s">
        <v>154</v>
      </c>
      <c r="C102" s="85">
        <v>12.443333333333333</v>
      </c>
      <c r="D102" s="85">
        <v>-63.091666666666669</v>
      </c>
      <c r="E102" s="206">
        <v>173.15307092001044</v>
      </c>
      <c r="F102" s="206">
        <v>-63.195873426414501</v>
      </c>
      <c r="G102" s="206">
        <v>4.3466670024588936</v>
      </c>
      <c r="H102" s="206">
        <v>-8.3684065664796563</v>
      </c>
      <c r="I102" s="85">
        <v>173.15781029226525</v>
      </c>
      <c r="J102" s="85">
        <v>-63.196851383174824</v>
      </c>
      <c r="K102" s="85">
        <v>6879.4420437592562</v>
      </c>
      <c r="L102" s="206">
        <v>339.69969632150605</v>
      </c>
      <c r="M102" s="85">
        <v>0.18834885814535951</v>
      </c>
      <c r="N102" s="201">
        <v>120.75216374311495</v>
      </c>
      <c r="O102" s="201">
        <v>221.17038418394259</v>
      </c>
      <c r="P102" s="201">
        <v>144.57240489142714</v>
      </c>
      <c r="Q102" s="201">
        <v>23.436848854799809</v>
      </c>
      <c r="R102" s="201">
        <v>-13.505954983246385</v>
      </c>
      <c r="S102" s="201">
        <v>-4.55249079351539</v>
      </c>
      <c r="T102" s="201">
        <v>18.88435806128442</v>
      </c>
      <c r="U102" s="15">
        <v>-3.5497167025740428E-3</v>
      </c>
      <c r="V102" s="15">
        <v>20.303853395196519</v>
      </c>
      <c r="W102" s="15">
        <v>221.1651638819967</v>
      </c>
      <c r="X102" s="15">
        <v>297.90796181770475</v>
      </c>
      <c r="Y102" s="15">
        <v>-1.7088313804150053</v>
      </c>
      <c r="Z102" s="15">
        <v>219.4563325015817</v>
      </c>
      <c r="AA102" s="15">
        <v>4.1088001085319954</v>
      </c>
      <c r="AB102" s="15">
        <v>23.436848854799809</v>
      </c>
      <c r="AC102" s="15">
        <v>-14.64080810080409</v>
      </c>
      <c r="AD102" s="15">
        <v>-0.58306140273594775</v>
      </c>
      <c r="AE102" s="15">
        <v>-0.77210914092540861</v>
      </c>
      <c r="AF102" s="15">
        <v>217.05842869257799</v>
      </c>
      <c r="AG102" s="15">
        <v>-159.69969632150605</v>
      </c>
      <c r="AH102" s="15">
        <v>163.24187498591596</v>
      </c>
      <c r="AI102" s="15">
        <v>0</v>
      </c>
      <c r="AJ102" s="21">
        <v>0</v>
      </c>
      <c r="AK102" s="21">
        <v>4.9438972652332991</v>
      </c>
      <c r="AL102" s="15">
        <v>1</v>
      </c>
      <c r="AM102" s="21">
        <v>1.6701080035707635E-2</v>
      </c>
      <c r="AN102" s="21">
        <v>5.1994275945686681</v>
      </c>
      <c r="AO102" s="21">
        <v>5.1845531096005653</v>
      </c>
      <c r="AP102" s="21">
        <v>0.40905016948060685</v>
      </c>
      <c r="AQ102" s="21">
        <v>0.43811361228178108</v>
      </c>
      <c r="AR102" s="21">
        <v>-0.89046188420538797</v>
      </c>
      <c r="AS102" s="15">
        <v>5.1696218869921875</v>
      </c>
      <c r="AT102" s="21">
        <v>0.99240410342218988</v>
      </c>
      <c r="AU102" s="22">
        <v>10.113519152225486</v>
      </c>
      <c r="AV102" s="21">
        <v>-0.76618229542022998</v>
      </c>
      <c r="AW102" s="15">
        <v>-0.63073813478636909</v>
      </c>
      <c r="AX102" s="21">
        <v>-0.76618229542022998</v>
      </c>
      <c r="AY102" s="15">
        <v>-0.57870162077120868</v>
      </c>
      <c r="AZ102" s="15">
        <v>-0.25086854882699822</v>
      </c>
      <c r="BA102" s="15">
        <v>37.063947826305885</v>
      </c>
      <c r="BB102" s="15">
        <v>0.96017231562810457</v>
      </c>
      <c r="BC102" s="15">
        <v>-14.642594995350315</v>
      </c>
      <c r="BD102" s="19">
        <v>-4.1756877721510044</v>
      </c>
      <c r="BE102" s="2">
        <v>8.9804171332116239E-2</v>
      </c>
      <c r="BF102" s="19">
        <v>25.289761681013729</v>
      </c>
      <c r="BG102" s="2">
        <v>60.266599999999997</v>
      </c>
      <c r="BH102" s="19">
        <v>5.4899999999999997E-2</v>
      </c>
      <c r="BI102" s="19">
        <v>0.25873977790514857</v>
      </c>
      <c r="BJ102" s="19">
        <v>0.27353213039126967</v>
      </c>
      <c r="BK102" s="19">
        <v>54.717417575241271</v>
      </c>
      <c r="BL102" s="19">
        <v>16.255500882635367</v>
      </c>
      <c r="BM102" s="2">
        <v>0.28877659469846834</v>
      </c>
      <c r="BN102" s="19">
        <v>57.080969640053254</v>
      </c>
      <c r="BO102" s="19">
        <v>-47.399646022583987</v>
      </c>
      <c r="BP102" s="19">
        <v>31.727567130336382</v>
      </c>
      <c r="BQ102" s="19">
        <v>2.2072915467644725</v>
      </c>
      <c r="BR102" s="2">
        <v>146.20311371938863</v>
      </c>
      <c r="BS102" s="2">
        <v>57.038276263192458</v>
      </c>
      <c r="BT102" s="2">
        <v>2.2161506798815118</v>
      </c>
      <c r="BU102" s="2">
        <v>10.143324859801968</v>
      </c>
      <c r="BV102" s="2">
        <v>21.372813686767874</v>
      </c>
      <c r="BW102" s="2">
        <v>11.229488826965905</v>
      </c>
      <c r="BX102" s="19">
        <v>25.548501458918878</v>
      </c>
      <c r="BY102" s="2">
        <v>-0.26444306097964559</v>
      </c>
      <c r="BZ102" s="19">
        <v>-0.5611679604219022</v>
      </c>
      <c r="CA102" s="19">
        <v>-0.39679553962401326</v>
      </c>
      <c r="CB102" s="19">
        <v>-0.39386736490137791</v>
      </c>
      <c r="CC102" s="19">
        <v>-0.4486797126533924</v>
      </c>
      <c r="CD102" s="19">
        <v>-0.48388808511817127</v>
      </c>
      <c r="CE102" s="19">
        <v>-0.52987959823541264</v>
      </c>
      <c r="CF102" s="19">
        <v>-0.48994343290093229</v>
      </c>
      <c r="CG102" s="19">
        <v>-0.45589660504220908</v>
      </c>
      <c r="CH102" s="19">
        <v>-0.43312524653492201</v>
      </c>
      <c r="CI102" s="19">
        <v>-0.42778934787021072</v>
      </c>
      <c r="CJ102" s="19">
        <v>-0.43467968031161719</v>
      </c>
      <c r="CK102" s="2">
        <v>2.5441391194580705</v>
      </c>
      <c r="CL102" s="19">
        <v>-9.0038410379251234E-3</v>
      </c>
      <c r="CM102" s="19">
        <v>-4.1177479325250108E-2</v>
      </c>
      <c r="CN102" s="19">
        <v>-3.173814975929308E-2</v>
      </c>
      <c r="CO102" s="19">
        <v>-5.7247837530917264E-2</v>
      </c>
      <c r="CP102" s="19">
        <v>-4.3587443591275359E-2</v>
      </c>
      <c r="CQ102" s="2">
        <v>3.7918381681048184E-2</v>
      </c>
      <c r="CR102" s="19">
        <v>57.648337445005161</v>
      </c>
      <c r="CS102" s="19">
        <v>58.058910153790634</v>
      </c>
      <c r="CT102" s="19">
        <v>-47.966906278080927</v>
      </c>
      <c r="CU102" s="19">
        <v>32.636921896136585</v>
      </c>
      <c r="CV102" s="19">
        <v>2.2009723990124379</v>
      </c>
      <c r="CW102" s="15">
        <v>-47.966906278080927</v>
      </c>
      <c r="CX102" s="15">
        <v>29.068933421536478</v>
      </c>
      <c r="CY102" s="21">
        <v>15.000335332585522</v>
      </c>
      <c r="CZ102" s="15">
        <v>148.78327359435991</v>
      </c>
      <c r="DA102" s="15">
        <v>56.087672336761486</v>
      </c>
      <c r="DB102" s="15">
        <v>14.973012947893304</v>
      </c>
      <c r="DC102" s="15">
        <v>231.51703008413403</v>
      </c>
      <c r="DD102" s="15">
        <v>0.86747477798788464</v>
      </c>
      <c r="DE102" s="15">
        <v>3.2281217481460525E-2</v>
      </c>
      <c r="DF102" s="15">
        <v>5.003914550123981</v>
      </c>
      <c r="DG102" s="15">
        <v>1.5236879999999999</v>
      </c>
      <c r="DH102" s="15">
        <v>9.3422312450182093E-2</v>
      </c>
      <c r="DI102" s="15">
        <v>0.42513940323919996</v>
      </c>
      <c r="DJ102" s="21">
        <v>0.46695051710849322</v>
      </c>
      <c r="DK102" s="21">
        <v>1.2182234440151127</v>
      </c>
      <c r="DL102" s="21">
        <v>0.68291177486418597</v>
      </c>
      <c r="DM102" s="15">
        <v>0.51092979531019223</v>
      </c>
      <c r="DN102" s="21">
        <v>1.3965804136519298</v>
      </c>
      <c r="DO102" s="21">
        <v>1.3893379194381146</v>
      </c>
      <c r="DP102" s="21">
        <v>0.13854871980987871</v>
      </c>
      <c r="DQ102" s="21">
        <v>-3.1324904574639052E-2</v>
      </c>
      <c r="DR102" s="15">
        <v>5.6949699912506091</v>
      </c>
      <c r="DS102" s="15">
        <v>1.3962290650711957</v>
      </c>
      <c r="DT102" s="15">
        <v>-1.285235946815189</v>
      </c>
      <c r="DU102" s="21">
        <v>1.0028652764085325E-4</v>
      </c>
      <c r="DV102" s="21">
        <v>1.3893376769299914</v>
      </c>
      <c r="DW102" s="21">
        <v>0.1385511516096497</v>
      </c>
      <c r="DX102" s="21">
        <v>-3.1324904574639052E-2</v>
      </c>
      <c r="DY102" s="10">
        <v>-0.76618119141911178</v>
      </c>
      <c r="DZ102" s="10">
        <v>-0.63073947585733903</v>
      </c>
      <c r="EA102" s="10">
        <v>0.62315648551087965</v>
      </c>
      <c r="EB102" s="15">
        <v>-0.49218832424768932</v>
      </c>
      <c r="EC102" s="15">
        <v>-3.1324904574639052E-2</v>
      </c>
      <c r="ED102" s="15">
        <v>0.62315648551087965</v>
      </c>
      <c r="EE102" s="21">
        <v>-0.43912319712042652</v>
      </c>
      <c r="EF102" s="15">
        <v>-0.22450259224136776</v>
      </c>
      <c r="EG102" s="15">
        <v>-35.171420578931148</v>
      </c>
      <c r="EH102" s="15">
        <v>0.76233403943647704</v>
      </c>
      <c r="EI102" s="15">
        <v>-16.409370501796442</v>
      </c>
      <c r="EJ102" s="15">
        <v>55.47172425742508</v>
      </c>
      <c r="EK102" s="19">
        <v>1.3412781500304056</v>
      </c>
      <c r="EL102" s="19">
        <v>5.9250249403292828E-2</v>
      </c>
      <c r="EM102" s="19">
        <v>0.95969048357010889</v>
      </c>
      <c r="EN102" s="19">
        <v>0.72333000000000003</v>
      </c>
      <c r="EO102" s="2">
        <v>6.7640410134590257E-3</v>
      </c>
      <c r="EP102" s="19">
        <v>4.7502699669050941</v>
      </c>
      <c r="EQ102" s="19">
        <v>4.7435090469235126</v>
      </c>
      <c r="ER102" s="19">
        <v>1.7613810773020492E-2</v>
      </c>
      <c r="ES102" s="19">
        <v>-0.72296323154312669</v>
      </c>
      <c r="ET102" s="2">
        <v>4.7367475178829572</v>
      </c>
      <c r="EU102" s="19">
        <v>0.72317776548593393</v>
      </c>
      <c r="EV102" s="19">
        <v>0.52621806145705285</v>
      </c>
      <c r="EW102" s="19">
        <v>0.49549823070950144</v>
      </c>
      <c r="EX102" s="19">
        <v>-2.3709400105520775E-2</v>
      </c>
      <c r="EY102" s="2">
        <v>43.277913258774539</v>
      </c>
      <c r="EZ102" s="2">
        <v>0.72278900437116844</v>
      </c>
      <c r="FA102" s="2">
        <v>-1.878780156083554</v>
      </c>
      <c r="FB102" s="19">
        <v>1.0028652764085325E-4</v>
      </c>
      <c r="FC102" s="19">
        <v>0.52621719417077761</v>
      </c>
      <c r="FD102" s="19">
        <v>0.49549915176405596</v>
      </c>
      <c r="FE102" s="19">
        <v>-2.3709400105520775E-2</v>
      </c>
      <c r="FF102" s="13">
        <v>-0.76618119141911178</v>
      </c>
      <c r="FG102" s="13">
        <v>-0.63073947585733903</v>
      </c>
      <c r="FH102" s="13">
        <v>-0.23996399724833417</v>
      </c>
      <c r="FI102" s="2">
        <v>-0.13524032409328307</v>
      </c>
      <c r="FJ102" s="2">
        <v>-2.3709400105520775E-2</v>
      </c>
      <c r="FK102" s="2">
        <v>-0.23996399724833417</v>
      </c>
      <c r="FL102" s="19">
        <v>-0.11465273386143177</v>
      </c>
      <c r="FM102" s="2">
        <v>-7.5543573732777619E-2</v>
      </c>
      <c r="FN102" s="23">
        <v>205.53806976483747</v>
      </c>
      <c r="FO102" s="2">
        <v>0.2659473056026303</v>
      </c>
      <c r="FP102" s="23">
        <v>-15.857444884439333</v>
      </c>
      <c r="FQ102" s="2">
        <v>174.76223391365647</v>
      </c>
      <c r="FR102" s="19">
        <v>1.7565814181806902</v>
      </c>
      <c r="FS102" s="19">
        <v>2.2722941347303214E-2</v>
      </c>
      <c r="FT102" s="19">
        <v>4.7820432371380965</v>
      </c>
      <c r="FU102" s="19">
        <v>5.2025600000000001</v>
      </c>
      <c r="FV102" s="19">
        <v>4.8528750929993557E-2</v>
      </c>
      <c r="FW102" s="19">
        <v>4.0421848981662603</v>
      </c>
      <c r="FX102" s="19">
        <v>4.0052995699199938</v>
      </c>
      <c r="FY102" s="19">
        <v>-3.6321801867147956</v>
      </c>
      <c r="FZ102" s="19">
        <v>-3.9506166772399891</v>
      </c>
      <c r="GA102" s="2">
        <v>3.9689607525642439</v>
      </c>
      <c r="GB102" s="19">
        <v>5.3665729324449005</v>
      </c>
      <c r="GC102" s="19">
        <v>-2.5152706530712341</v>
      </c>
      <c r="GD102" s="19">
        <v>-4.7400137671752196</v>
      </c>
      <c r="GE102" s="19">
        <v>7.6079353560897844E-2</v>
      </c>
      <c r="GF102" s="19">
        <v>242.04760981667985</v>
      </c>
      <c r="GG102" s="19">
        <v>8.6754562366292455E-3</v>
      </c>
      <c r="GH102" s="2">
        <v>242.05628527291648</v>
      </c>
      <c r="GI102" s="2">
        <v>5.3660336349311129</v>
      </c>
      <c r="GJ102" s="2">
        <v>0.81228224111976843</v>
      </c>
      <c r="GK102" s="19">
        <v>1.0028652764085325E-4</v>
      </c>
      <c r="GL102" s="19">
        <v>-2.5145446164913818</v>
      </c>
      <c r="GM102" s="19">
        <v>-4.7403989645267437</v>
      </c>
      <c r="GN102" s="19">
        <v>7.6079353560897858E-2</v>
      </c>
      <c r="GO102" s="13">
        <v>-0.76618119141911178</v>
      </c>
      <c r="GP102" s="13">
        <v>-0.63073947585733903</v>
      </c>
      <c r="GQ102" s="13">
        <v>-3.2807258079104935</v>
      </c>
      <c r="GR102" s="2">
        <v>-5.3711384403840832</v>
      </c>
      <c r="GS102" s="2">
        <v>7.6079353560897858E-2</v>
      </c>
      <c r="GT102" s="2">
        <v>-3.2807258079104935</v>
      </c>
      <c r="GU102" s="19">
        <v>-4.9582738908935013</v>
      </c>
      <c r="GV102" s="2">
        <v>-2.0665033841476363</v>
      </c>
      <c r="GW102" s="23">
        <v>236.5087119206116</v>
      </c>
      <c r="GX102" s="2">
        <v>5.9453882803233418</v>
      </c>
      <c r="GY102" s="23">
        <v>-19.16647483909129</v>
      </c>
      <c r="GZ102" s="2">
        <v>143.79159175788232</v>
      </c>
      <c r="HA102" s="19">
        <v>1.986670601574964</v>
      </c>
      <c r="HB102" s="19">
        <v>4.342128148543678E-2</v>
      </c>
      <c r="HC102" s="19">
        <v>5.9271157787709008</v>
      </c>
      <c r="HD102" s="19">
        <v>9.5547500000000003</v>
      </c>
      <c r="HE102" s="19">
        <v>5.5480637931526328E-2</v>
      </c>
      <c r="HF102" s="2">
        <v>3.2654202025428365</v>
      </c>
      <c r="HG102" s="19">
        <v>3.2589449837796094</v>
      </c>
      <c r="HH102" s="19">
        <v>-10.019137144125775</v>
      </c>
      <c r="HI102" s="19">
        <v>-1.1169772721239704</v>
      </c>
      <c r="HJ102" s="2">
        <v>3.2526185744477614</v>
      </c>
      <c r="HK102" s="19">
        <v>10.081207632979408</v>
      </c>
      <c r="HL102" s="19">
        <v>1.7159239227191143</v>
      </c>
      <c r="HM102" s="19">
        <v>-9.9335332166271311</v>
      </c>
      <c r="HN102" s="19">
        <v>0.10616150360647075</v>
      </c>
      <c r="HO102" s="19">
        <v>-80.199312737265501</v>
      </c>
      <c r="HP102" s="19">
        <v>-0.13097306298424141</v>
      </c>
      <c r="HQ102" s="2">
        <v>-80.33028580024974</v>
      </c>
      <c r="HR102" s="2">
        <v>10.080648643534518</v>
      </c>
      <c r="HS102" s="2">
        <v>0.60337201171471599</v>
      </c>
      <c r="HT102" s="2">
        <v>-2.2780355191229697E-3</v>
      </c>
      <c r="HU102" s="2">
        <v>0.60109397619559302</v>
      </c>
      <c r="HV102" s="19">
        <v>1.0028652764085325E-4</v>
      </c>
      <c r="HW102" s="19">
        <v>1.6932303860879061</v>
      </c>
      <c r="HX102" s="19">
        <v>-9.9374308989895699</v>
      </c>
      <c r="HY102" s="19">
        <v>0.1057607047926217</v>
      </c>
      <c r="HZ102" s="13">
        <v>-0.76618119141911178</v>
      </c>
      <c r="IA102" s="13">
        <v>-0.63073947585733903</v>
      </c>
      <c r="IB102" s="13">
        <v>0.92704919466879432</v>
      </c>
      <c r="IC102" s="2">
        <v>-10.568170374846909</v>
      </c>
      <c r="ID102" s="2">
        <v>0.1057607047926217</v>
      </c>
      <c r="IE102" s="2">
        <v>0.92704919466879432</v>
      </c>
      <c r="IF102" s="19">
        <v>-9.7383509829564687</v>
      </c>
      <c r="IG102" s="2">
        <v>-4.1063281080815841</v>
      </c>
      <c r="IH102" s="23">
        <v>-84.562074885997177</v>
      </c>
      <c r="II102" s="2">
        <v>9.7823770156636929</v>
      </c>
      <c r="IJ102" s="23">
        <v>-22.771101768626107</v>
      </c>
      <c r="IK102" s="2">
        <v>104.86237856449111</v>
      </c>
    </row>
    <row r="103" spans="1:245" ht="15" hidden="1">
      <c r="A103" s="85"/>
      <c r="B103" s="205" t="s">
        <v>155</v>
      </c>
      <c r="C103" s="85">
        <v>6.9775</v>
      </c>
      <c r="D103" s="85">
        <v>-28.973333333333333</v>
      </c>
      <c r="E103" s="206">
        <v>255.10308502429484</v>
      </c>
      <c r="F103" s="206">
        <v>-28.999889316494599</v>
      </c>
      <c r="G103" s="206">
        <v>4.3466670024588936</v>
      </c>
      <c r="H103" s="206">
        <v>-8.3684065664796563</v>
      </c>
      <c r="I103" s="85">
        <v>255.10325857617903</v>
      </c>
      <c r="J103" s="85">
        <v>-29.000293280252588</v>
      </c>
      <c r="K103" s="85">
        <v>6879.4429768714199</v>
      </c>
      <c r="L103" s="206">
        <v>339.36285622324795</v>
      </c>
      <c r="M103" s="85">
        <v>0.18834888369257824</v>
      </c>
      <c r="N103" s="201">
        <v>120.75211433131281</v>
      </c>
      <c r="O103" s="201">
        <v>221.17130390348393</v>
      </c>
      <c r="P103" s="201">
        <v>144.58469994725601</v>
      </c>
      <c r="Q103" s="201">
        <v>23.436848854467339</v>
      </c>
      <c r="R103" s="201">
        <v>-13.505924700243016</v>
      </c>
      <c r="S103" s="201">
        <v>-4.5524614337121561</v>
      </c>
      <c r="T103" s="201">
        <v>18.884387420755182</v>
      </c>
      <c r="U103" s="15">
        <v>-3.5497081212041036E-3</v>
      </c>
      <c r="V103" s="15">
        <v>20.64069348487326</v>
      </c>
      <c r="W103" s="15">
        <v>221.16608360157534</v>
      </c>
      <c r="X103" s="15">
        <v>297.90888149330931</v>
      </c>
      <c r="Y103" s="15">
        <v>-1.7088173537553175</v>
      </c>
      <c r="Z103" s="15">
        <v>219.45726624782003</v>
      </c>
      <c r="AA103" s="15">
        <v>4.1088047368595531</v>
      </c>
      <c r="AB103" s="15">
        <v>23.436848854467339</v>
      </c>
      <c r="AC103" s="15">
        <v>-14.641104473108337</v>
      </c>
      <c r="AD103" s="15">
        <v>-0.58307294756952577</v>
      </c>
      <c r="AE103" s="15">
        <v>-0.77209878427735379</v>
      </c>
      <c r="AF103" s="15">
        <v>217.0593438730784</v>
      </c>
      <c r="AG103" s="15">
        <v>-159.36285622324795</v>
      </c>
      <c r="AH103" s="15">
        <v>163.57779990367362</v>
      </c>
      <c r="AI103" s="15">
        <v>0</v>
      </c>
      <c r="AJ103" s="21">
        <v>0</v>
      </c>
      <c r="AK103" s="21">
        <v>4.943897266000258</v>
      </c>
      <c r="AL103" s="15">
        <v>1</v>
      </c>
      <c r="AM103" s="21">
        <v>1.6701080034633622E-2</v>
      </c>
      <c r="AN103" s="21">
        <v>5.1994436459357374</v>
      </c>
      <c r="AO103" s="21">
        <v>5.1845692839168098</v>
      </c>
      <c r="AP103" s="21">
        <v>0.40905016947480421</v>
      </c>
      <c r="AQ103" s="21">
        <v>0.43812801684453401</v>
      </c>
      <c r="AR103" s="21">
        <v>-0.89045452879826759</v>
      </c>
      <c r="AS103" s="15">
        <v>5.1696381828370246</v>
      </c>
      <c r="AT103" s="21">
        <v>0.99240386285094084</v>
      </c>
      <c r="AU103" s="22">
        <v>10.113535448837283</v>
      </c>
      <c r="AV103" s="21">
        <v>-0.76617183069421824</v>
      </c>
      <c r="AW103" s="15">
        <v>-0.63075046797615542</v>
      </c>
      <c r="AX103" s="21">
        <v>-0.76617183069421824</v>
      </c>
      <c r="AY103" s="15">
        <v>-0.57871293646221134</v>
      </c>
      <c r="AZ103" s="15">
        <v>-0.2508734542023599</v>
      </c>
      <c r="BA103" s="15">
        <v>37.064863002942445</v>
      </c>
      <c r="BB103" s="15">
        <v>0.96017078531792732</v>
      </c>
      <c r="BC103" s="15">
        <v>-14.642891340006168</v>
      </c>
      <c r="BD103" s="19">
        <v>-4.1756886345503483</v>
      </c>
      <c r="BE103" s="2">
        <v>8.9804171332116239E-2</v>
      </c>
      <c r="BF103" s="19">
        <v>25.289764357717281</v>
      </c>
      <c r="BG103" s="2">
        <v>60.266599999999997</v>
      </c>
      <c r="BH103" s="19">
        <v>5.4899999999999997E-2</v>
      </c>
      <c r="BI103" s="19">
        <v>0.25895255280660479</v>
      </c>
      <c r="BJ103" s="19">
        <v>0.27375675475336109</v>
      </c>
      <c r="BK103" s="19">
        <v>54.713759214751171</v>
      </c>
      <c r="BL103" s="19">
        <v>16.268514880552107</v>
      </c>
      <c r="BM103" s="2">
        <v>0.28901339702758777</v>
      </c>
      <c r="BN103" s="19">
        <v>57.081170484044158</v>
      </c>
      <c r="BO103" s="19">
        <v>-47.407327347127122</v>
      </c>
      <c r="BP103" s="19">
        <v>31.716372479933444</v>
      </c>
      <c r="BQ103" s="19">
        <v>2.2084053851065129</v>
      </c>
      <c r="BR103" s="2">
        <v>146.21675062934173</v>
      </c>
      <c r="BS103" s="2">
        <v>57.038434142984208</v>
      </c>
      <c r="BT103" s="2">
        <v>2.217261741635804</v>
      </c>
      <c r="BU103" s="2">
        <v>10.143340911935995</v>
      </c>
      <c r="BV103" s="2">
        <v>21.373028275973539</v>
      </c>
      <c r="BW103" s="2">
        <v>11.229687364037543</v>
      </c>
      <c r="BX103" s="19">
        <v>25.548716910523886</v>
      </c>
      <c r="BY103" s="2">
        <v>-0.26467273992057039</v>
      </c>
      <c r="BZ103" s="19">
        <v>-0.56163081660979075</v>
      </c>
      <c r="CA103" s="19">
        <v>-0.39725979310502091</v>
      </c>
      <c r="CB103" s="19">
        <v>-0.39432994039005054</v>
      </c>
      <c r="CC103" s="19">
        <v>-0.44914491874652579</v>
      </c>
      <c r="CD103" s="19">
        <v>-0.48437744400395732</v>
      </c>
      <c r="CE103" s="19">
        <v>-0.53036929044844128</v>
      </c>
      <c r="CF103" s="19">
        <v>-0.49043130045877559</v>
      </c>
      <c r="CG103" s="19">
        <v>-0.45638608391352742</v>
      </c>
      <c r="CH103" s="19">
        <v>-0.43361953933032904</v>
      </c>
      <c r="CI103" s="19">
        <v>-0.42828316642402248</v>
      </c>
      <c r="CJ103" s="19">
        <v>-0.43517848272979653</v>
      </c>
      <c r="CK103" s="2">
        <v>2.5443684226920356</v>
      </c>
      <c r="CL103" s="19">
        <v>-9.0352190046416765E-3</v>
      </c>
      <c r="CM103" s="19">
        <v>-4.1226686731911766E-2</v>
      </c>
      <c r="CN103" s="19">
        <v>-3.1785954657011097E-2</v>
      </c>
      <c r="CO103" s="19">
        <v>-5.7308460599801658E-2</v>
      </c>
      <c r="CP103" s="19">
        <v>-4.3641583190351232E-2</v>
      </c>
      <c r="CQ103" s="2">
        <v>3.7936828452593982E-2</v>
      </c>
      <c r="CR103" s="19">
        <v>57.648516091558115</v>
      </c>
      <c r="CS103" s="19">
        <v>58.059006400165309</v>
      </c>
      <c r="CT103" s="19">
        <v>-47.974434716560474</v>
      </c>
      <c r="CU103" s="19">
        <v>32.625953319215355</v>
      </c>
      <c r="CV103" s="19">
        <v>2.2020462786449277</v>
      </c>
      <c r="CW103" s="15">
        <v>-47.974434716560474</v>
      </c>
      <c r="CX103" s="15">
        <v>29.058442640264406</v>
      </c>
      <c r="CY103" s="21">
        <v>14.996957995652874</v>
      </c>
      <c r="CZ103" s="15">
        <v>148.79642431994216</v>
      </c>
      <c r="DA103" s="15">
        <v>56.088675105149875</v>
      </c>
      <c r="DB103" s="15">
        <v>14.969537496134063</v>
      </c>
      <c r="DC103" s="15">
        <v>231.84071945680989</v>
      </c>
      <c r="DD103" s="15">
        <v>0.86747477833164854</v>
      </c>
      <c r="DE103" s="15">
        <v>3.2281217481170639E-2</v>
      </c>
      <c r="DF103" s="15">
        <v>5.0039145506010945</v>
      </c>
      <c r="DG103" s="15">
        <v>1.5236879999999999</v>
      </c>
      <c r="DH103" s="15">
        <v>9.3422312452529813E-2</v>
      </c>
      <c r="DI103" s="15">
        <v>0.4251479373784548</v>
      </c>
      <c r="DJ103" s="21">
        <v>0.46695982669558872</v>
      </c>
      <c r="DK103" s="21">
        <v>1.2182170583991736</v>
      </c>
      <c r="DL103" s="21">
        <v>0.68292438578308956</v>
      </c>
      <c r="DM103" s="15">
        <v>0.51093990777342357</v>
      </c>
      <c r="DN103" s="21">
        <v>1.3965810102074085</v>
      </c>
      <c r="DO103" s="21">
        <v>1.3893371189884434</v>
      </c>
      <c r="DP103" s="21">
        <v>0.13856283023768221</v>
      </c>
      <c r="DQ103" s="21">
        <v>-3.1324590170679144E-2</v>
      </c>
      <c r="DR103" s="15">
        <v>5.6955493936845496</v>
      </c>
      <c r="DS103" s="15">
        <v>1.3962296688305205</v>
      </c>
      <c r="DT103" s="15">
        <v>-1.2852224958259415</v>
      </c>
      <c r="DU103" s="21">
        <v>1.002508459915809E-4</v>
      </c>
      <c r="DV103" s="21">
        <v>1.3893368765419154</v>
      </c>
      <c r="DW103" s="21">
        <v>0.13856526117082557</v>
      </c>
      <c r="DX103" s="21">
        <v>-3.1324590170679151E-2</v>
      </c>
      <c r="DY103" s="10">
        <v>-0.76617072706432143</v>
      </c>
      <c r="DZ103" s="10">
        <v>-0.63075180855166635</v>
      </c>
      <c r="EA103" s="10">
        <v>0.62316614947759397</v>
      </c>
      <c r="EB103" s="15">
        <v>-0.49218654738084078</v>
      </c>
      <c r="EC103" s="15">
        <v>-3.1324590170679151E-2</v>
      </c>
      <c r="ED103" s="15">
        <v>0.62316614947759397</v>
      </c>
      <c r="EE103" s="21">
        <v>-0.4391216918985601</v>
      </c>
      <c r="EF103" s="15">
        <v>-0.22450159704594461</v>
      </c>
      <c r="EG103" s="15">
        <v>-35.170909724722442</v>
      </c>
      <c r="EH103" s="15">
        <v>0.76234107206065249</v>
      </c>
      <c r="EI103" s="15">
        <v>-16.409158440036524</v>
      </c>
      <c r="EJ103" s="15">
        <v>55.80805350147449</v>
      </c>
      <c r="EK103" s="19">
        <v>1.341278150431999</v>
      </c>
      <c r="EL103" s="19">
        <v>5.9250249403740692E-2</v>
      </c>
      <c r="EM103" s="19">
        <v>0.95969048379546307</v>
      </c>
      <c r="EN103" s="19">
        <v>0.72333000000000003</v>
      </c>
      <c r="EO103" s="2">
        <v>6.7640410122441139E-3</v>
      </c>
      <c r="EP103" s="19">
        <v>4.7502960590049526</v>
      </c>
      <c r="EQ103" s="19">
        <v>4.7435351445204832</v>
      </c>
      <c r="ER103" s="19">
        <v>1.7632678800906566E-2</v>
      </c>
      <c r="ES103" s="19">
        <v>-0.72296264394625054</v>
      </c>
      <c r="ET103" s="2">
        <v>4.7367736203800472</v>
      </c>
      <c r="EU103" s="19">
        <v>0.72317763786185263</v>
      </c>
      <c r="EV103" s="19">
        <v>0.52620506539667622</v>
      </c>
      <c r="EW103" s="19">
        <v>0.49551189061275758</v>
      </c>
      <c r="EX103" s="19">
        <v>-2.370846506417313E-2</v>
      </c>
      <c r="EY103" s="2">
        <v>43.27940780389666</v>
      </c>
      <c r="EZ103" s="2">
        <v>0.72278890734968371</v>
      </c>
      <c r="FA103" s="2">
        <v>-1.8787063666426116</v>
      </c>
      <c r="FB103" s="19">
        <v>1.002508459915809E-4</v>
      </c>
      <c r="FC103" s="19">
        <v>0.52620419839507837</v>
      </c>
      <c r="FD103" s="19">
        <v>0.49551281131686464</v>
      </c>
      <c r="FE103" s="19">
        <v>-2.370846506417313E-2</v>
      </c>
      <c r="FF103" s="13">
        <v>-0.76617072706432143</v>
      </c>
      <c r="FG103" s="13">
        <v>-0.63075180855166635</v>
      </c>
      <c r="FH103" s="13">
        <v>-0.23996652866924306</v>
      </c>
      <c r="FI103" s="2">
        <v>-0.13523899723480171</v>
      </c>
      <c r="FJ103" s="2">
        <v>-2.370846506417313E-2</v>
      </c>
      <c r="FK103" s="2">
        <v>-0.23996652866924306</v>
      </c>
      <c r="FL103" s="19">
        <v>-0.11465188837203819</v>
      </c>
      <c r="FM103" s="2">
        <v>-7.5542188090493623E-2</v>
      </c>
      <c r="FN103" s="23">
        <v>205.53767029673418</v>
      </c>
      <c r="FO103" s="2">
        <v>0.26594922520819825</v>
      </c>
      <c r="FP103" s="23">
        <v>-15.85705994892114</v>
      </c>
      <c r="FQ103" s="2">
        <v>175.09947348001788</v>
      </c>
      <c r="FR103" s="19">
        <v>1.7565814186315714</v>
      </c>
      <c r="FS103" s="19">
        <v>2.2722941344767503E-2</v>
      </c>
      <c r="FT103" s="19">
        <v>4.7820432374060076</v>
      </c>
      <c r="FU103" s="19">
        <v>5.2025600000000001</v>
      </c>
      <c r="FV103" s="19">
        <v>4.8528750934163638E-2</v>
      </c>
      <c r="FW103" s="19">
        <v>4.0421862512834483</v>
      </c>
      <c r="FX103" s="19">
        <v>4.0053008815188518</v>
      </c>
      <c r="FY103" s="19">
        <v>-3.632174998996998</v>
      </c>
      <c r="FZ103" s="19">
        <v>-3.9506211048320985</v>
      </c>
      <c r="GA103" s="2">
        <v>3.9689620225769207</v>
      </c>
      <c r="GB103" s="19">
        <v>5.3665726807044765</v>
      </c>
      <c r="GC103" s="19">
        <v>-2.5152645129450373</v>
      </c>
      <c r="GD103" s="19">
        <v>-4.7400167423888613</v>
      </c>
      <c r="GE103" s="19">
        <v>7.6079228941136029E-2</v>
      </c>
      <c r="GF103" s="19">
        <v>242.04768258438406</v>
      </c>
      <c r="GG103" s="19">
        <v>8.675463764513499E-3</v>
      </c>
      <c r="GH103" s="2">
        <v>242.05635804814858</v>
      </c>
      <c r="GI103" s="2">
        <v>5.3660333849322397</v>
      </c>
      <c r="GJ103" s="2">
        <v>0.81228094859911593</v>
      </c>
      <c r="GK103" s="19">
        <v>1.002508459915809E-4</v>
      </c>
      <c r="GL103" s="19">
        <v>-2.5145384782388778</v>
      </c>
      <c r="GM103" s="19">
        <v>-4.7404019375643092</v>
      </c>
      <c r="GN103" s="19">
        <v>7.6079228941136029E-2</v>
      </c>
      <c r="GO103" s="13">
        <v>-0.76617072706432143</v>
      </c>
      <c r="GP103" s="13">
        <v>-0.63075180855166635</v>
      </c>
      <c r="GQ103" s="13">
        <v>-3.2807092053031992</v>
      </c>
      <c r="GR103" s="2">
        <v>-5.3711537461159757</v>
      </c>
      <c r="GS103" s="2">
        <v>7.6079228941136029E-2</v>
      </c>
      <c r="GT103" s="2">
        <v>-3.2807092053031992</v>
      </c>
      <c r="GU103" s="19">
        <v>-4.9582878843334326</v>
      </c>
      <c r="GV103" s="2">
        <v>-2.0665095861292921</v>
      </c>
      <c r="GW103" s="23">
        <v>236.50891976962495</v>
      </c>
      <c r="GX103" s="2">
        <v>5.9453907889800526</v>
      </c>
      <c r="GY103" s="23">
        <v>-19.166520667843006</v>
      </c>
      <c r="GZ103" s="2">
        <v>144.12822400712707</v>
      </c>
      <c r="HA103" s="19">
        <v>1.9866706019641638</v>
      </c>
      <c r="HB103" s="19">
        <v>4.3421281483676279E-2</v>
      </c>
      <c r="HC103" s="19">
        <v>5.9271157792556677</v>
      </c>
      <c r="HD103" s="19">
        <v>9.5547500000000003</v>
      </c>
      <c r="HE103" s="19">
        <v>5.5480637922662696E-2</v>
      </c>
      <c r="HF103" s="2">
        <v>3.2654207472115075</v>
      </c>
      <c r="HG103" s="19">
        <v>3.2589455000874628</v>
      </c>
      <c r="HH103" s="19">
        <v>-10.019136566446051</v>
      </c>
      <c r="HI103" s="19">
        <v>-1.1169821638408748</v>
      </c>
      <c r="HJ103" s="2">
        <v>3.2526190630404277</v>
      </c>
      <c r="HK103" s="19">
        <v>10.081207600849961</v>
      </c>
      <c r="HL103" s="19">
        <v>1.7159287757143327</v>
      </c>
      <c r="HM103" s="19">
        <v>-9.9335323479323971</v>
      </c>
      <c r="HN103" s="19">
        <v>0.10616129563634012</v>
      </c>
      <c r="HO103" s="19">
        <v>-80.199284751883397</v>
      </c>
      <c r="HP103" s="19">
        <v>-0.13097298696084961</v>
      </c>
      <c r="HQ103" s="2">
        <v>-80.330257738844253</v>
      </c>
      <c r="HR103" s="2">
        <v>10.080648613593464</v>
      </c>
      <c r="HS103" s="2">
        <v>0.60337083158975036</v>
      </c>
      <c r="HT103" s="2">
        <v>-2.2780353429915452E-3</v>
      </c>
      <c r="HU103" s="2">
        <v>0.60109279624675882</v>
      </c>
      <c r="HV103" s="19">
        <v>1.002508459915809E-4</v>
      </c>
      <c r="HW103" s="19">
        <v>1.6932352480521939</v>
      </c>
      <c r="HX103" s="19">
        <v>-9.9374300401810984</v>
      </c>
      <c r="HY103" s="19">
        <v>0.10576049685467039</v>
      </c>
      <c r="HZ103" s="13">
        <v>-0.76617072706432143</v>
      </c>
      <c r="IA103" s="13">
        <v>-0.63075180855166635</v>
      </c>
      <c r="IB103" s="13">
        <v>0.92706452098787251</v>
      </c>
      <c r="IC103" s="2">
        <v>-10.568181848732765</v>
      </c>
      <c r="ID103" s="2">
        <v>0.10576049685467039</v>
      </c>
      <c r="IE103" s="2">
        <v>0.92706452098787251</v>
      </c>
      <c r="IF103" s="19">
        <v>-9.7383614275544517</v>
      </c>
      <c r="IG103" s="2">
        <v>-4.1063328624088991</v>
      </c>
      <c r="IH103" s="23">
        <v>-84.561991320559301</v>
      </c>
      <c r="II103" s="2">
        <v>9.7823888656991578</v>
      </c>
      <c r="IJ103" s="23">
        <v>-22.771100673424886</v>
      </c>
      <c r="IK103" s="2">
        <v>105.19913509731134</v>
      </c>
    </row>
    <row r="104" spans="1:245" ht="15" hidden="1">
      <c r="A104" s="85"/>
      <c r="B104" s="205" t="s">
        <v>156</v>
      </c>
      <c r="C104" s="85">
        <v>4.5988888888888884</v>
      </c>
      <c r="D104" s="85">
        <v>16.508333333333333</v>
      </c>
      <c r="E104" s="206">
        <v>290.77270188576802</v>
      </c>
      <c r="F104" s="206">
        <v>16.545959136924782</v>
      </c>
      <c r="G104" s="206">
        <v>4.3466670024588936</v>
      </c>
      <c r="H104" s="206">
        <v>-8.3684065664796563</v>
      </c>
      <c r="I104" s="85">
        <v>290.77337159820217</v>
      </c>
      <c r="J104" s="85">
        <v>16.545945011814325</v>
      </c>
      <c r="K104" s="85">
        <v>6879.4429941531789</v>
      </c>
      <c r="L104" s="206">
        <v>339.35661775618792</v>
      </c>
      <c r="M104" s="85">
        <v>0.18834888416572701</v>
      </c>
      <c r="N104" s="201">
        <v>120.75211341617862</v>
      </c>
      <c r="O104" s="201">
        <v>221.17132093720284</v>
      </c>
      <c r="P104" s="201">
        <v>144.58492765856499</v>
      </c>
      <c r="Q104" s="201">
        <v>23.436848854461182</v>
      </c>
      <c r="R104" s="201">
        <v>-13.505924139020053</v>
      </c>
      <c r="S104" s="201">
        <v>-4.5524608900098871</v>
      </c>
      <c r="T104" s="201">
        <v>18.884387964451296</v>
      </c>
      <c r="U104" s="15">
        <v>-3.5497079621776935E-3</v>
      </c>
      <c r="V104" s="15">
        <v>20.646931951774263</v>
      </c>
      <c r="W104" s="15">
        <v>221.16610063529606</v>
      </c>
      <c r="X104" s="15">
        <v>297.90889852621603</v>
      </c>
      <c r="Y104" s="15">
        <v>-1.7088170939694594</v>
      </c>
      <c r="Z104" s="15">
        <v>219.4572835413266</v>
      </c>
      <c r="AA104" s="15">
        <v>4.108804822551126</v>
      </c>
      <c r="AB104" s="15">
        <v>23.436848854461182</v>
      </c>
      <c r="AC104" s="15">
        <v>-14.641109962056719</v>
      </c>
      <c r="AD104" s="15">
        <v>-0.58307316138488929</v>
      </c>
      <c r="AE104" s="15">
        <v>-0.772098592464461</v>
      </c>
      <c r="AF104" s="15">
        <v>217.05936082276037</v>
      </c>
      <c r="AG104" s="15">
        <v>-159.35661775618792</v>
      </c>
      <c r="AH104" s="15">
        <v>163.58402142105172</v>
      </c>
      <c r="AI104" s="15">
        <v>0</v>
      </c>
      <c r="AJ104" s="21">
        <v>0</v>
      </c>
      <c r="AK104" s="21">
        <v>4.9438972660144636</v>
      </c>
      <c r="AL104" s="15">
        <v>1</v>
      </c>
      <c r="AM104" s="21">
        <v>1.6701080034613732E-2</v>
      </c>
      <c r="AN104" s="21">
        <v>5.199443943216032</v>
      </c>
      <c r="AO104" s="21">
        <v>5.1845695834742287</v>
      </c>
      <c r="AP104" s="21">
        <v>0.4090501694746968</v>
      </c>
      <c r="AQ104" s="21">
        <v>0.43812828362400219</v>
      </c>
      <c r="AR104" s="21">
        <v>-0.89045439256980052</v>
      </c>
      <c r="AS104" s="15">
        <v>5.1696384846452581</v>
      </c>
      <c r="AT104" s="21">
        <v>0.99240385839544509</v>
      </c>
      <c r="AU104" s="22">
        <v>10.113535750659722</v>
      </c>
      <c r="AV104" s="21">
        <v>-0.76617163687973489</v>
      </c>
      <c r="AW104" s="15">
        <v>-0.63075069639215942</v>
      </c>
      <c r="AX104" s="21">
        <v>-0.76617163687973489</v>
      </c>
      <c r="AY104" s="15">
        <v>-0.57871314603369817</v>
      </c>
      <c r="AZ104" s="15">
        <v>-0.25087354505203124</v>
      </c>
      <c r="BA104" s="15">
        <v>37.064879952553063</v>
      </c>
      <c r="BB104" s="15">
        <v>0.96017075697565002</v>
      </c>
      <c r="BC104" s="15">
        <v>-14.642896828442561</v>
      </c>
      <c r="BD104" s="19">
        <v>-4.1756886505224662</v>
      </c>
      <c r="BE104" s="2">
        <v>8.9804171332116239E-2</v>
      </c>
      <c r="BF104" s="19">
        <v>25.289764407291329</v>
      </c>
      <c r="BG104" s="2">
        <v>60.266599999999997</v>
      </c>
      <c r="BH104" s="19">
        <v>5.4899999999999997E-2</v>
      </c>
      <c r="BI104" s="19">
        <v>0.25895649351686245</v>
      </c>
      <c r="BJ104" s="19">
        <v>0.27376091491498616</v>
      </c>
      <c r="BK104" s="19">
        <v>54.713691432373068</v>
      </c>
      <c r="BL104" s="19">
        <v>16.268755898915497</v>
      </c>
      <c r="BM104" s="2">
        <v>0.28901778272372358</v>
      </c>
      <c r="BN104" s="19">
        <v>57.081174205296719</v>
      </c>
      <c r="BO104" s="19">
        <v>-47.407469585362371</v>
      </c>
      <c r="BP104" s="19">
        <v>31.716165132531408</v>
      </c>
      <c r="BQ104" s="19">
        <v>2.2084260128817177</v>
      </c>
      <c r="BR104" s="2">
        <v>146.21700319185254</v>
      </c>
      <c r="BS104" s="2">
        <v>57.038437068358206</v>
      </c>
      <c r="BT104" s="2">
        <v>2.2172823178573915</v>
      </c>
      <c r="BU104" s="2">
        <v>10.143341209230496</v>
      </c>
      <c r="BV104" s="2">
        <v>21.373032250285725</v>
      </c>
      <c r="BW104" s="2">
        <v>11.229691041055229</v>
      </c>
      <c r="BX104" s="19">
        <v>25.548720900808192</v>
      </c>
      <c r="BY104" s="2">
        <v>-0.26467699361834468</v>
      </c>
      <c r="BZ104" s="19">
        <v>-0.56163938843919592</v>
      </c>
      <c r="CA104" s="19">
        <v>-0.39726839081347548</v>
      </c>
      <c r="CB104" s="19">
        <v>-0.3943385070211709</v>
      </c>
      <c r="CC104" s="19">
        <v>-0.44915353408327852</v>
      </c>
      <c r="CD104" s="19">
        <v>-0.48438650654038584</v>
      </c>
      <c r="CE104" s="19">
        <v>-0.53037835909530084</v>
      </c>
      <c r="CF104" s="19">
        <v>-0.49044033532657749</v>
      </c>
      <c r="CG104" s="19">
        <v>-0.45639514863641401</v>
      </c>
      <c r="CH104" s="19">
        <v>-0.43362869322102809</v>
      </c>
      <c r="CI104" s="19">
        <v>-0.4282923115315595</v>
      </c>
      <c r="CJ104" s="19">
        <v>-0.43518772011931472</v>
      </c>
      <c r="CK104" s="2">
        <v>2.5443726695165556</v>
      </c>
      <c r="CL104" s="19">
        <v>-9.0358001393402027E-3</v>
      </c>
      <c r="CM104" s="19">
        <v>-4.1227598029306797E-2</v>
      </c>
      <c r="CN104" s="19">
        <v>-3.1786839979242393E-2</v>
      </c>
      <c r="CO104" s="19">
        <v>-5.7309583231435701E-2</v>
      </c>
      <c r="CP104" s="19">
        <v>-4.3642585797451672E-2</v>
      </c>
      <c r="CQ104" s="2">
        <v>3.7937170076613298E-2</v>
      </c>
      <c r="CR104" s="19">
        <v>57.648519401519941</v>
      </c>
      <c r="CS104" s="19">
        <v>58.059008183419238</v>
      </c>
      <c r="CT104" s="19">
        <v>-47.974574124283848</v>
      </c>
      <c r="CU104" s="19">
        <v>32.625750158960464</v>
      </c>
      <c r="CV104" s="19">
        <v>2.2020661663601877</v>
      </c>
      <c r="CW104" s="15">
        <v>-47.974574124283848</v>
      </c>
      <c r="CX104" s="15">
        <v>29.058248330830313</v>
      </c>
      <c r="CY104" s="21">
        <v>14.996895438047648</v>
      </c>
      <c r="CZ104" s="15">
        <v>148.79666787452905</v>
      </c>
      <c r="DA104" s="15">
        <v>56.088693677626402</v>
      </c>
      <c r="DB104" s="15">
        <v>14.969473121678446</v>
      </c>
      <c r="DC104" s="15">
        <v>231.84671436928306</v>
      </c>
      <c r="DD104" s="15">
        <v>0.86747477833801523</v>
      </c>
      <c r="DE104" s="15">
        <v>3.2281217481165268E-2</v>
      </c>
      <c r="DF104" s="15">
        <v>5.003914550609931</v>
      </c>
      <c r="DG104" s="15">
        <v>1.5236879999999999</v>
      </c>
      <c r="DH104" s="15">
        <v>9.3422312452573292E-2</v>
      </c>
      <c r="DI104" s="15">
        <v>0.42514809543548182</v>
      </c>
      <c r="DJ104" s="21">
        <v>0.46695999911430747</v>
      </c>
      <c r="DK104" s="21">
        <v>1.2182169401329113</v>
      </c>
      <c r="DL104" s="21">
        <v>0.68292461934374693</v>
      </c>
      <c r="DM104" s="15">
        <v>0.51094009506181293</v>
      </c>
      <c r="DN104" s="21">
        <v>1.3965810212560512</v>
      </c>
      <c r="DO104" s="21">
        <v>1.3893371041624294</v>
      </c>
      <c r="DP104" s="21">
        <v>0.13856309157056762</v>
      </c>
      <c r="DQ104" s="21">
        <v>-3.1324584347714166E-2</v>
      </c>
      <c r="DR104" s="15">
        <v>5.6955601245367156</v>
      </c>
      <c r="DS104" s="15">
        <v>1.3962296800125826</v>
      </c>
      <c r="DT104" s="15">
        <v>-1.2852222467049721</v>
      </c>
      <c r="DU104" s="21">
        <v>1.0025018514748473E-4</v>
      </c>
      <c r="DV104" s="21">
        <v>1.3893368617170421</v>
      </c>
      <c r="DW104" s="21">
        <v>0.13856552248766055</v>
      </c>
      <c r="DX104" s="21">
        <v>-3.1324584347714159E-2</v>
      </c>
      <c r="DY104" s="10">
        <v>-0.76617053325671347</v>
      </c>
      <c r="DZ104" s="10">
        <v>-0.63075203695849447</v>
      </c>
      <c r="EA104" s="10">
        <v>0.6231663284603286</v>
      </c>
      <c r="EB104" s="15">
        <v>-0.49218651447083395</v>
      </c>
      <c r="EC104" s="15">
        <v>-3.1324584347714159E-2</v>
      </c>
      <c r="ED104" s="15">
        <v>0.6231663284603286</v>
      </c>
      <c r="EE104" s="21">
        <v>-0.43912166401970004</v>
      </c>
      <c r="EF104" s="15">
        <v>-0.22450157861377093</v>
      </c>
      <c r="EG104" s="15">
        <v>-35.170900263396405</v>
      </c>
      <c r="EH104" s="15">
        <v>0.76234120230914748</v>
      </c>
      <c r="EI104" s="15">
        <v>-16.409154512517954</v>
      </c>
      <c r="EJ104" s="15">
        <v>55.814282507208475</v>
      </c>
      <c r="EK104" s="19">
        <v>1.3412781504394367</v>
      </c>
      <c r="EL104" s="19">
        <v>5.925024940374899E-2</v>
      </c>
      <c r="EM104" s="19">
        <v>0.95969048379963673</v>
      </c>
      <c r="EN104" s="19">
        <v>0.72333000000000003</v>
      </c>
      <c r="EO104" s="2">
        <v>6.7640410122216128E-3</v>
      </c>
      <c r="EP104" s="19">
        <v>4.7502965422452093</v>
      </c>
      <c r="EQ104" s="19">
        <v>4.7435356278625926</v>
      </c>
      <c r="ER104" s="19">
        <v>1.7633028247203655E-2</v>
      </c>
      <c r="ES104" s="19">
        <v>-0.72296263305898323</v>
      </c>
      <c r="ET104" s="2">
        <v>4.7367741038129534</v>
      </c>
      <c r="EU104" s="19">
        <v>0.72317763549818426</v>
      </c>
      <c r="EV104" s="19">
        <v>0.52620482469900143</v>
      </c>
      <c r="EW104" s="19">
        <v>0.49551214359860835</v>
      </c>
      <c r="EX104" s="19">
        <v>-2.3708447746533006E-2</v>
      </c>
      <c r="EY104" s="2">
        <v>43.279435483710493</v>
      </c>
      <c r="EZ104" s="2">
        <v>0.7227889055527863</v>
      </c>
      <c r="FA104" s="2">
        <v>-1.8787050000086747</v>
      </c>
      <c r="FB104" s="19">
        <v>1.0025018514748473E-4</v>
      </c>
      <c r="FC104" s="19">
        <v>0.52620395770267625</v>
      </c>
      <c r="FD104" s="19">
        <v>0.49551306429622499</v>
      </c>
      <c r="FE104" s="19">
        <v>-2.3708447746533006E-2</v>
      </c>
      <c r="FF104" s="13">
        <v>-0.76617053325671347</v>
      </c>
      <c r="FG104" s="13">
        <v>-0.63075203695849447</v>
      </c>
      <c r="FH104" s="13">
        <v>-0.23996657555403722</v>
      </c>
      <c r="FI104" s="2">
        <v>-0.13523897266226947</v>
      </c>
      <c r="FJ104" s="2">
        <v>-2.3708447746533006E-2</v>
      </c>
      <c r="FK104" s="2">
        <v>-0.23996657555403722</v>
      </c>
      <c r="FL104" s="19">
        <v>-0.11465187271465652</v>
      </c>
      <c r="FM104" s="2">
        <v>-7.5542162428132539E-2</v>
      </c>
      <c r="FN104" s="23">
        <v>205.53766289858223</v>
      </c>
      <c r="FO104" s="2">
        <v>0.26594926076247938</v>
      </c>
      <c r="FP104" s="23">
        <v>-15.857052819720462</v>
      </c>
      <c r="FQ104" s="2">
        <v>175.10571934522989</v>
      </c>
      <c r="FR104" s="19">
        <v>1.756581418639922</v>
      </c>
      <c r="FS104" s="19">
        <v>2.272294134472054E-2</v>
      </c>
      <c r="FT104" s="19">
        <v>4.7820432374109707</v>
      </c>
      <c r="FU104" s="19">
        <v>5.2025600000000001</v>
      </c>
      <c r="FV104" s="19">
        <v>4.8528750934240868E-2</v>
      </c>
      <c r="FW104" s="19">
        <v>4.0421862763439353</v>
      </c>
      <c r="FX104" s="19">
        <v>4.0053009058103966</v>
      </c>
      <c r="FY104" s="19">
        <v>-3.6321749029175066</v>
      </c>
      <c r="FZ104" s="19">
        <v>-3.9506211868335179</v>
      </c>
      <c r="GA104" s="2">
        <v>3.9689620460982673</v>
      </c>
      <c r="GB104" s="19">
        <v>5.3665726760421002</v>
      </c>
      <c r="GC104" s="19">
        <v>-2.5152643992264183</v>
      </c>
      <c r="GD104" s="19">
        <v>-4.7400167974914122</v>
      </c>
      <c r="GE104" s="19">
        <v>7.6079226633106969E-2</v>
      </c>
      <c r="GF104" s="19">
        <v>242.04768393208283</v>
      </c>
      <c r="GG104" s="19">
        <v>8.6754639039329506E-3</v>
      </c>
      <c r="GH104" s="2">
        <v>242.05635939598676</v>
      </c>
      <c r="GI104" s="2">
        <v>5.3660333803021185</v>
      </c>
      <c r="GJ104" s="2">
        <v>0.81228092466089519</v>
      </c>
      <c r="GK104" s="19">
        <v>1.0025018514748473E-4</v>
      </c>
      <c r="GL104" s="19">
        <v>-2.5145383645549568</v>
      </c>
      <c r="GM104" s="19">
        <v>-4.7404019926265599</v>
      </c>
      <c r="GN104" s="19">
        <v>7.6079226633106969E-2</v>
      </c>
      <c r="GO104" s="13">
        <v>-0.76617053325671347</v>
      </c>
      <c r="GP104" s="13">
        <v>-0.63075203695849447</v>
      </c>
      <c r="GQ104" s="13">
        <v>-3.2807088978116701</v>
      </c>
      <c r="GR104" s="2">
        <v>-5.3711540295850542</v>
      </c>
      <c r="GS104" s="2">
        <v>7.6079226633106969E-2</v>
      </c>
      <c r="GT104" s="2">
        <v>-3.2807088978116701</v>
      </c>
      <c r="GU104" s="19">
        <v>-4.9582881434982635</v>
      </c>
      <c r="GV104" s="2">
        <v>-2.0665097009928122</v>
      </c>
      <c r="GW104" s="23">
        <v>236.50892361911099</v>
      </c>
      <c r="GX104" s="2">
        <v>5.9453908354401834</v>
      </c>
      <c r="GY104" s="23">
        <v>-19.166521516615699</v>
      </c>
      <c r="GZ104" s="2">
        <v>144.1344586247011</v>
      </c>
      <c r="HA104" s="19">
        <v>1.9866706019713722</v>
      </c>
      <c r="HB104" s="19">
        <v>4.3421281483643673E-2</v>
      </c>
      <c r="HC104" s="19">
        <v>5.9271157792646454</v>
      </c>
      <c r="HD104" s="19">
        <v>9.5547500000000003</v>
      </c>
      <c r="HE104" s="19">
        <v>5.5480637922498535E-2</v>
      </c>
      <c r="HF104" s="2">
        <v>3.2654207572990774</v>
      </c>
      <c r="HG104" s="19">
        <v>3.2589455096497741</v>
      </c>
      <c r="HH104" s="19">
        <v>-10.019136555747075</v>
      </c>
      <c r="HI104" s="19">
        <v>-1.116982254438216</v>
      </c>
      <c r="HJ104" s="2">
        <v>3.2526190720894381</v>
      </c>
      <c r="HK104" s="19">
        <v>10.081207600254904</v>
      </c>
      <c r="HL104" s="19">
        <v>1.7159288655945222</v>
      </c>
      <c r="HM104" s="19">
        <v>-9.9335323318436615</v>
      </c>
      <c r="HN104" s="19">
        <v>0.10616129178461652</v>
      </c>
      <c r="HO104" s="19">
        <v>-80.19928423357841</v>
      </c>
      <c r="HP104" s="19">
        <v>-0.13097298555285045</v>
      </c>
      <c r="HQ104" s="2">
        <v>-80.330257219131255</v>
      </c>
      <c r="HR104" s="2">
        <v>10.080648613038939</v>
      </c>
      <c r="HS104" s="2">
        <v>0.60337080973317325</v>
      </c>
      <c r="HT104" s="2">
        <v>-2.2780353397297633E-3</v>
      </c>
      <c r="HU104" s="2">
        <v>0.60109277439344344</v>
      </c>
      <c r="HV104" s="19">
        <v>1.0025018514748473E-4</v>
      </c>
      <c r="HW104" s="19">
        <v>1.6932353380984988</v>
      </c>
      <c r="HX104" s="19">
        <v>-9.937430024275459</v>
      </c>
      <c r="HY104" s="19">
        <v>0.10576049300354268</v>
      </c>
      <c r="HZ104" s="13">
        <v>-0.76617053325671347</v>
      </c>
      <c r="IA104" s="13">
        <v>-0.63075203695849447</v>
      </c>
      <c r="IB104" s="13">
        <v>0.92706480484178533</v>
      </c>
      <c r="IC104" s="2">
        <v>-10.568182061233953</v>
      </c>
      <c r="ID104" s="2">
        <v>0.10576049300354268</v>
      </c>
      <c r="IE104" s="2">
        <v>0.92706480484178533</v>
      </c>
      <c r="IF104" s="19">
        <v>-9.7383616209927837</v>
      </c>
      <c r="IG104" s="2">
        <v>-4.1063329504610664</v>
      </c>
      <c r="IH104" s="23">
        <v>-84.561989772870618</v>
      </c>
      <c r="II104" s="2">
        <v>9.7823890851673632</v>
      </c>
      <c r="IJ104" s="23">
        <v>-22.771100653140273</v>
      </c>
      <c r="IK104" s="2">
        <v>105.2053720166827</v>
      </c>
    </row>
    <row r="105" spans="1:245" ht="15" hidden="1">
      <c r="A105" s="85"/>
      <c r="B105" s="205" t="s">
        <v>157</v>
      </c>
      <c r="C105" s="85">
        <v>12.9</v>
      </c>
      <c r="D105" s="85">
        <v>55.956666666666663</v>
      </c>
      <c r="E105" s="206">
        <v>166.223860665963</v>
      </c>
      <c r="F105" s="206">
        <v>55.854652807491924</v>
      </c>
      <c r="G105" s="206">
        <v>4.3466670024588936</v>
      </c>
      <c r="H105" s="206">
        <v>-8.3684065664796563</v>
      </c>
      <c r="I105" s="85">
        <v>166.22030916553385</v>
      </c>
      <c r="J105" s="85">
        <v>55.853666813995943</v>
      </c>
      <c r="K105" s="85">
        <v>6879.4429944732456</v>
      </c>
      <c r="L105" s="206">
        <v>339.35650221677497</v>
      </c>
      <c r="M105" s="85">
        <v>0.18834888417448994</v>
      </c>
      <c r="N105" s="201">
        <v>120.75211339922996</v>
      </c>
      <c r="O105" s="201">
        <v>221.17132125267563</v>
      </c>
      <c r="P105" s="201">
        <v>144.58493187588465</v>
      </c>
      <c r="Q105" s="201">
        <v>23.436848854461068</v>
      </c>
      <c r="R105" s="201">
        <v>-13.505924128625807</v>
      </c>
      <c r="S105" s="201">
        <v>-4.5524608799403001</v>
      </c>
      <c r="T105" s="201">
        <v>18.88438797452077</v>
      </c>
      <c r="U105" s="15">
        <v>-3.5497079592324158E-3</v>
      </c>
      <c r="V105" s="15">
        <v>20.647047491184264</v>
      </c>
      <c r="W105" s="15">
        <v>221.16610095076885</v>
      </c>
      <c r="X105" s="15">
        <v>297.90889884167336</v>
      </c>
      <c r="Y105" s="15">
        <v>-1.7088170891581034</v>
      </c>
      <c r="Z105" s="15">
        <v>219.45728386161073</v>
      </c>
      <c r="AA105" s="15">
        <v>4.1088048241381721</v>
      </c>
      <c r="AB105" s="15">
        <v>23.436848854461068</v>
      </c>
      <c r="AC105" s="15">
        <v>-14.641110063714695</v>
      </c>
      <c r="AD105" s="15">
        <v>-0.58307316534485321</v>
      </c>
      <c r="AE105" s="15">
        <v>-0.77209858891199235</v>
      </c>
      <c r="AF105" s="15">
        <v>217.05936113667673</v>
      </c>
      <c r="AG105" s="15">
        <v>-159.35650221677497</v>
      </c>
      <c r="AH105" s="15">
        <v>163.5841366465483</v>
      </c>
      <c r="AI105" s="15">
        <v>0</v>
      </c>
      <c r="AJ105" s="21">
        <v>0</v>
      </c>
      <c r="AK105" s="21">
        <v>4.9438972660147265</v>
      </c>
      <c r="AL105" s="15">
        <v>1</v>
      </c>
      <c r="AM105" s="21">
        <v>1.6701080034613364E-2</v>
      </c>
      <c r="AN105" s="21">
        <v>5.1994439487218145</v>
      </c>
      <c r="AO105" s="21">
        <v>5.1845695890221846</v>
      </c>
      <c r="AP105" s="21">
        <v>0.4090501694746948</v>
      </c>
      <c r="AQ105" s="21">
        <v>0.43812828856489339</v>
      </c>
      <c r="AR105" s="21">
        <v>-0.89045439004677918</v>
      </c>
      <c r="AS105" s="15">
        <v>5.1696384902349006</v>
      </c>
      <c r="AT105" s="21">
        <v>0.99240385831292699</v>
      </c>
      <c r="AU105" s="22">
        <v>10.113535756249627</v>
      </c>
      <c r="AV105" s="21">
        <v>-0.76617163329019122</v>
      </c>
      <c r="AW105" s="15">
        <v>-0.63075070062253968</v>
      </c>
      <c r="AX105" s="21">
        <v>-0.76617163329019122</v>
      </c>
      <c r="AY105" s="15">
        <v>-0.5787131499150685</v>
      </c>
      <c r="AZ105" s="15">
        <v>-0.25087354673461326</v>
      </c>
      <c r="BA105" s="15">
        <v>37.064880266468521</v>
      </c>
      <c r="BB105" s="15">
        <v>0.96017075645073657</v>
      </c>
      <c r="BC105" s="15">
        <v>-14.642896930091192</v>
      </c>
      <c r="BD105" s="19">
        <v>-4.1756886508182784</v>
      </c>
      <c r="BE105" s="2">
        <v>8.9804171332116239E-2</v>
      </c>
      <c r="BF105" s="19">
        <v>25.289764408209464</v>
      </c>
      <c r="BG105" s="2">
        <v>60.266599999999997</v>
      </c>
      <c r="BH105" s="19">
        <v>5.4899999999999997E-2</v>
      </c>
      <c r="BI105" s="19">
        <v>0.25895656650062904</v>
      </c>
      <c r="BJ105" s="19">
        <v>0.27376099196309051</v>
      </c>
      <c r="BK105" s="19">
        <v>54.713690177002817</v>
      </c>
      <c r="BL105" s="19">
        <v>16.268760362683651</v>
      </c>
      <c r="BM105" s="2">
        <v>0.289017863948828</v>
      </c>
      <c r="BN105" s="19">
        <v>57.081174274216551</v>
      </c>
      <c r="BO105" s="19">
        <v>-47.407472219671561</v>
      </c>
      <c r="BP105" s="19">
        <v>31.716161292356677</v>
      </c>
      <c r="BQ105" s="19">
        <v>2.2084263949172107</v>
      </c>
      <c r="BR105" s="2">
        <v>146.21700786942608</v>
      </c>
      <c r="BS105" s="2">
        <v>57.038437122537943</v>
      </c>
      <c r="BT105" s="2">
        <v>2.2172826989380434</v>
      </c>
      <c r="BU105" s="2">
        <v>10.143341214736541</v>
      </c>
      <c r="BV105" s="2">
        <v>21.373032323891813</v>
      </c>
      <c r="BW105" s="2">
        <v>11.229691109155272</v>
      </c>
      <c r="BX105" s="19">
        <v>25.548720974710093</v>
      </c>
      <c r="BY105" s="2">
        <v>-0.2646770723987153</v>
      </c>
      <c r="BZ105" s="19">
        <v>-0.56163954719318032</v>
      </c>
      <c r="CA105" s="19">
        <v>-0.39726855004675321</v>
      </c>
      <c r="CB105" s="19">
        <v>-0.39433866567888026</v>
      </c>
      <c r="CC105" s="19">
        <v>-0.44915369364303287</v>
      </c>
      <c r="CD105" s="19">
        <v>-0.48438667438244026</v>
      </c>
      <c r="CE105" s="19">
        <v>-0.53037852705050159</v>
      </c>
      <c r="CF105" s="19">
        <v>-0.49044050265617967</v>
      </c>
      <c r="CG105" s="19">
        <v>-0.45639531651895032</v>
      </c>
      <c r="CH105" s="19">
        <v>-0.43362886275499746</v>
      </c>
      <c r="CI105" s="19">
        <v>-0.42829248090286021</v>
      </c>
      <c r="CJ105" s="19">
        <v>-0.43518789119971213</v>
      </c>
      <c r="CK105" s="2">
        <v>2.5443727481696983</v>
      </c>
      <c r="CL105" s="19">
        <v>-9.0358109022155315E-3</v>
      </c>
      <c r="CM105" s="19">
        <v>-4.1227614906929097E-2</v>
      </c>
      <c r="CN105" s="19">
        <v>-3.1786856375791275E-2</v>
      </c>
      <c r="CO105" s="19">
        <v>-5.730960402303225E-2</v>
      </c>
      <c r="CP105" s="19">
        <v>-4.3642604366156815E-2</v>
      </c>
      <c r="CQ105" s="2">
        <v>3.7937176403640346E-2</v>
      </c>
      <c r="CR105" s="19">
        <v>57.648519462822421</v>
      </c>
      <c r="CS105" s="19">
        <v>58.05900821644618</v>
      </c>
      <c r="CT105" s="19">
        <v>-47.974576706171035</v>
      </c>
      <c r="CU105" s="19">
        <v>32.625746396333632</v>
      </c>
      <c r="CV105" s="19">
        <v>2.2020665346894392</v>
      </c>
      <c r="CW105" s="15">
        <v>-47.974576706171035</v>
      </c>
      <c r="CX105" s="15">
        <v>29.058244732125356</v>
      </c>
      <c r="CY105" s="21">
        <v>14.996894279449499</v>
      </c>
      <c r="CZ105" s="15">
        <v>148.79667238527054</v>
      </c>
      <c r="DA105" s="15">
        <v>56.088694021597433</v>
      </c>
      <c r="DB105" s="15">
        <v>14.96947192943149</v>
      </c>
      <c r="DC105" s="15">
        <v>231.84682539795449</v>
      </c>
      <c r="DD105" s="15">
        <v>0.86747477833813325</v>
      </c>
      <c r="DE105" s="15">
        <v>3.2281217481165171E-2</v>
      </c>
      <c r="DF105" s="15">
        <v>5.0039145506100953</v>
      </c>
      <c r="DG105" s="15">
        <v>1.5236879999999999</v>
      </c>
      <c r="DH105" s="15">
        <v>9.3422312452574097E-2</v>
      </c>
      <c r="DI105" s="15">
        <v>0.42514809836277578</v>
      </c>
      <c r="DJ105" s="21">
        <v>0.46696000230758705</v>
      </c>
      <c r="DK105" s="21">
        <v>1.2182169379425616</v>
      </c>
      <c r="DL105" s="21">
        <v>0.68292462366940521</v>
      </c>
      <c r="DM105" s="15">
        <v>0.51094009853048605</v>
      </c>
      <c r="DN105" s="21">
        <v>1.3965810214606775</v>
      </c>
      <c r="DO105" s="21">
        <v>1.3893371038878435</v>
      </c>
      <c r="DP105" s="21">
        <v>0.13856309641058129</v>
      </c>
      <c r="DQ105" s="21">
        <v>-3.1324584239869981E-2</v>
      </c>
      <c r="DR105" s="15">
        <v>5.6955603232773804</v>
      </c>
      <c r="DS105" s="15">
        <v>1.3962296802196794</v>
      </c>
      <c r="DT105" s="15">
        <v>-1.2852222420911292</v>
      </c>
      <c r="DU105" s="21">
        <v>1.0025017290832818E-4</v>
      </c>
      <c r="DV105" s="21">
        <v>1.3893368614424777</v>
      </c>
      <c r="DW105" s="21">
        <v>0.13856552732737695</v>
      </c>
      <c r="DX105" s="21">
        <v>-3.1324584239869981E-2</v>
      </c>
      <c r="DY105" s="10">
        <v>-0.76617052966729682</v>
      </c>
      <c r="DZ105" s="10">
        <v>-0.63075204118870498</v>
      </c>
      <c r="EA105" s="10">
        <v>0.62316633177518088</v>
      </c>
      <c r="EB105" s="15">
        <v>-0.49218651386132806</v>
      </c>
      <c r="EC105" s="15">
        <v>-3.1324584239869981E-2</v>
      </c>
      <c r="ED105" s="15">
        <v>0.62316633177518088</v>
      </c>
      <c r="EE105" s="21">
        <v>-0.43912166350337317</v>
      </c>
      <c r="EF105" s="15">
        <v>-0.22450157827239944</v>
      </c>
      <c r="EG105" s="15">
        <v>-35.170900088168061</v>
      </c>
      <c r="EH105" s="15">
        <v>0.76234120472141909</v>
      </c>
      <c r="EI105" s="15">
        <v>-16.40915443977838</v>
      </c>
      <c r="EJ105" s="15">
        <v>55.814397871393112</v>
      </c>
      <c r="EK105" s="19">
        <v>1.3412781504395743</v>
      </c>
      <c r="EL105" s="19">
        <v>5.9250249403749143E-2</v>
      </c>
      <c r="EM105" s="19">
        <v>0.95969048379971411</v>
      </c>
      <c r="EN105" s="19">
        <v>0.72333000000000003</v>
      </c>
      <c r="EO105" s="2">
        <v>6.7640410122211964E-3</v>
      </c>
      <c r="EP105" s="19">
        <v>4.7502965511950919</v>
      </c>
      <c r="EQ105" s="19">
        <v>4.7435356368143617</v>
      </c>
      <c r="ER105" s="19">
        <v>1.7633034719146574E-2</v>
      </c>
      <c r="ES105" s="19">
        <v>-0.72296263285734319</v>
      </c>
      <c r="ET105" s="2">
        <v>4.7367741127664038</v>
      </c>
      <c r="EU105" s="19">
        <v>0.72317763545440772</v>
      </c>
      <c r="EV105" s="19">
        <v>0.52620482024114335</v>
      </c>
      <c r="EW105" s="19">
        <v>0.49551214828404794</v>
      </c>
      <c r="EX105" s="19">
        <v>-2.3708447425800486E-2</v>
      </c>
      <c r="EY105" s="2">
        <v>43.27943599635627</v>
      </c>
      <c r="EZ105" s="2">
        <v>0.72278890551950659</v>
      </c>
      <c r="FA105" s="2">
        <v>-1.8787049746978388</v>
      </c>
      <c r="FB105" s="19">
        <v>1.0025017290832818E-4</v>
      </c>
      <c r="FC105" s="19">
        <v>0.52620395324491576</v>
      </c>
      <c r="FD105" s="19">
        <v>0.49551306898154435</v>
      </c>
      <c r="FE105" s="19">
        <v>-2.3708447425800486E-2</v>
      </c>
      <c r="FF105" s="13">
        <v>-0.76617052966729682</v>
      </c>
      <c r="FG105" s="13">
        <v>-0.63075204118870498</v>
      </c>
      <c r="FH105" s="13">
        <v>-0.23996657642238106</v>
      </c>
      <c r="FI105" s="2">
        <v>-0.13523897220716063</v>
      </c>
      <c r="FJ105" s="2">
        <v>-2.3708447425800486E-2</v>
      </c>
      <c r="FK105" s="2">
        <v>-0.23996657642238106</v>
      </c>
      <c r="FL105" s="19">
        <v>-0.11465187242466228</v>
      </c>
      <c r="FM105" s="2">
        <v>-7.5542161952846437E-2</v>
      </c>
      <c r="FN105" s="23">
        <v>205.53766276156119</v>
      </c>
      <c r="FO105" s="2">
        <v>0.26594926142097008</v>
      </c>
      <c r="FP105" s="23">
        <v>-15.857052687682412</v>
      </c>
      <c r="FQ105" s="2">
        <v>175.10583502166378</v>
      </c>
      <c r="FR105" s="19">
        <v>1.7565814186400768</v>
      </c>
      <c r="FS105" s="19">
        <v>2.2722941344719666E-2</v>
      </c>
      <c r="FT105" s="19">
        <v>4.7820432374110613</v>
      </c>
      <c r="FU105" s="19">
        <v>5.2025600000000001</v>
      </c>
      <c r="FV105" s="19">
        <v>4.8528750934242297E-2</v>
      </c>
      <c r="FW105" s="19">
        <v>4.042186276808069</v>
      </c>
      <c r="FX105" s="19">
        <v>4.0053009062602891</v>
      </c>
      <c r="FY105" s="19">
        <v>-3.632174901138062</v>
      </c>
      <c r="FZ105" s="19">
        <v>-3.9506211883522289</v>
      </c>
      <c r="GA105" s="2">
        <v>3.9689620465338953</v>
      </c>
      <c r="GB105" s="19">
        <v>5.3665726759557506</v>
      </c>
      <c r="GC105" s="19">
        <v>-2.5152643971202999</v>
      </c>
      <c r="GD105" s="19">
        <v>-4.7400167985119355</v>
      </c>
      <c r="GE105" s="19">
        <v>7.6079226590361274E-2</v>
      </c>
      <c r="GF105" s="19">
        <v>242.04768395704281</v>
      </c>
      <c r="GG105" s="19">
        <v>8.6754639065183461E-3</v>
      </c>
      <c r="GH105" s="2">
        <v>242.05635942094932</v>
      </c>
      <c r="GI105" s="2">
        <v>5.3660333802163667</v>
      </c>
      <c r="GJ105" s="2">
        <v>0.81228092421754894</v>
      </c>
      <c r="GK105" s="19">
        <v>1.0025017290832818E-4</v>
      </c>
      <c r="GL105" s="19">
        <v>-2.5145383624494793</v>
      </c>
      <c r="GM105" s="19">
        <v>-4.7404019936463371</v>
      </c>
      <c r="GN105" s="19">
        <v>7.607922659036126E-2</v>
      </c>
      <c r="GO105" s="13">
        <v>-0.76617052966729682</v>
      </c>
      <c r="GP105" s="13">
        <v>-0.63075204118870498</v>
      </c>
      <c r="GQ105" s="13">
        <v>-3.2807088921167762</v>
      </c>
      <c r="GR105" s="2">
        <v>-5.3711540348350422</v>
      </c>
      <c r="GS105" s="2">
        <v>7.607922659036126E-2</v>
      </c>
      <c r="GT105" s="2">
        <v>-3.2807088921167762</v>
      </c>
      <c r="GU105" s="19">
        <v>-4.9582881482981254</v>
      </c>
      <c r="GV105" s="2">
        <v>-2.0665097031201412</v>
      </c>
      <c r="GW105" s="23">
        <v>236.50892369040534</v>
      </c>
      <c r="GX105" s="2">
        <v>5.9453908363006498</v>
      </c>
      <c r="GY105" s="23">
        <v>-19.166521532335384</v>
      </c>
      <c r="GZ105" s="2">
        <v>144.13457409281966</v>
      </c>
      <c r="HA105" s="19">
        <v>1.9866706019715057</v>
      </c>
      <c r="HB105" s="19">
        <v>4.3421281483643069E-2</v>
      </c>
      <c r="HC105" s="19">
        <v>5.9271157792648115</v>
      </c>
      <c r="HD105" s="19">
        <v>9.5547500000000003</v>
      </c>
      <c r="HE105" s="19">
        <v>5.5480637922495496E-2</v>
      </c>
      <c r="HF105" s="2">
        <v>3.2654207574859022</v>
      </c>
      <c r="HG105" s="19">
        <v>3.2589455098268711</v>
      </c>
      <c r="HH105" s="19">
        <v>-10.019136555548926</v>
      </c>
      <c r="HI105" s="19">
        <v>-1.1169822561161071</v>
      </c>
      <c r="HJ105" s="2">
        <v>3.2526190722570281</v>
      </c>
      <c r="HK105" s="19">
        <v>10.081207600243882</v>
      </c>
      <c r="HL105" s="19">
        <v>1.7159288672591186</v>
      </c>
      <c r="HM105" s="19">
        <v>-9.9335323315456936</v>
      </c>
      <c r="HN105" s="19">
        <v>0.10616129171328187</v>
      </c>
      <c r="HO105" s="19">
        <v>-80.199284223979319</v>
      </c>
      <c r="HP105" s="19">
        <v>-0.13097298552677952</v>
      </c>
      <c r="HQ105" s="2">
        <v>-80.330257209506101</v>
      </c>
      <c r="HR105" s="2">
        <v>10.080648613028668</v>
      </c>
      <c r="HS105" s="2">
        <v>0.60337080932838527</v>
      </c>
      <c r="HT105" s="2">
        <v>-2.2780353396689122E-3</v>
      </c>
      <c r="HU105" s="2">
        <v>0.60109277398871641</v>
      </c>
      <c r="HV105" s="19">
        <v>1.0025017290832818E-4</v>
      </c>
      <c r="HW105" s="19">
        <v>1.693235339766169</v>
      </c>
      <c r="HX105" s="19">
        <v>-9.9374300239808822</v>
      </c>
      <c r="HY105" s="19">
        <v>0.10576049293221915</v>
      </c>
      <c r="HZ105" s="13">
        <v>-0.76617052966729682</v>
      </c>
      <c r="IA105" s="13">
        <v>-0.63075204118870498</v>
      </c>
      <c r="IB105" s="13">
        <v>0.92706481009887221</v>
      </c>
      <c r="IC105" s="2">
        <v>-10.568182065169587</v>
      </c>
      <c r="ID105" s="2">
        <v>0.10576049293221915</v>
      </c>
      <c r="IE105" s="2">
        <v>0.92706481009887221</v>
      </c>
      <c r="IF105" s="19">
        <v>-9.7383616245753633</v>
      </c>
      <c r="IG105" s="2">
        <v>-4.1063329520918375</v>
      </c>
      <c r="IH105" s="23">
        <v>-84.561989744206798</v>
      </c>
      <c r="II105" s="2">
        <v>9.7823890892320247</v>
      </c>
      <c r="IJ105" s="23">
        <v>-22.771100652764595</v>
      </c>
      <c r="IK105" s="2">
        <v>105.20548752743184</v>
      </c>
    </row>
    <row r="106" spans="1:245" ht="15" hidden="1">
      <c r="A106" s="85"/>
      <c r="B106" s="205" t="s">
        <v>158</v>
      </c>
      <c r="C106" s="85">
        <v>13.791944444444445</v>
      </c>
      <c r="D106" s="85">
        <v>49.311666666666667</v>
      </c>
      <c r="E106" s="206">
        <v>152.85027182215356</v>
      </c>
      <c r="F106" s="206">
        <v>49.218088613742189</v>
      </c>
      <c r="G106" s="206">
        <v>4.3466670024588936</v>
      </c>
      <c r="H106" s="206">
        <v>-8.3684065664796563</v>
      </c>
      <c r="I106" s="85">
        <v>152.84769659560342</v>
      </c>
      <c r="J106" s="85">
        <v>49.217106031109211</v>
      </c>
      <c r="K106" s="85">
        <v>6879.9582939873999</v>
      </c>
      <c r="L106" s="206">
        <v>153.34077351214364</v>
      </c>
      <c r="M106" s="85">
        <v>0.1883629923062943</v>
      </c>
      <c r="N106" s="201">
        <v>120.72482634993216</v>
      </c>
      <c r="O106" s="201">
        <v>221.67922485807321</v>
      </c>
      <c r="P106" s="201">
        <v>151.37472257846093</v>
      </c>
      <c r="Q106" s="201">
        <v>23.436848670859852</v>
      </c>
      <c r="R106" s="201">
        <v>-13.483487740307217</v>
      </c>
      <c r="S106" s="201">
        <v>-4.5373869136337843</v>
      </c>
      <c r="T106" s="201">
        <v>18.899461757226067</v>
      </c>
      <c r="U106" s="15">
        <v>-3.543492045995817E-3</v>
      </c>
      <c r="V106" s="15">
        <v>206.66276997990235</v>
      </c>
      <c r="W106" s="15">
        <v>221.67400457711665</v>
      </c>
      <c r="X106" s="15">
        <v>298.41677818390508</v>
      </c>
      <c r="Y106" s="15">
        <v>-1.7010019223615624</v>
      </c>
      <c r="Z106" s="15">
        <v>219.97300265475508</v>
      </c>
      <c r="AA106" s="15">
        <v>4.1109123143051187</v>
      </c>
      <c r="AB106" s="15">
        <v>23.436848670859852</v>
      </c>
      <c r="AC106" s="15">
        <v>-14.804251212494231</v>
      </c>
      <c r="AD106" s="15">
        <v>-0.58942575981763423</v>
      </c>
      <c r="AE106" s="15">
        <v>-0.76634723481004774</v>
      </c>
      <c r="AF106" s="15">
        <v>217.56520463683242</v>
      </c>
      <c r="AG106" s="15">
        <v>26.659226487856358</v>
      </c>
      <c r="AH106" s="15">
        <v>349.09402185102397</v>
      </c>
      <c r="AI106" s="15">
        <v>0</v>
      </c>
      <c r="AJ106" s="21">
        <v>0</v>
      </c>
      <c r="AK106" s="21">
        <v>4.9438976895582725</v>
      </c>
      <c r="AL106" s="15">
        <v>1</v>
      </c>
      <c r="AM106" s="21">
        <v>1.6701079441503622E-2</v>
      </c>
      <c r="AN106" s="21">
        <v>5.2083081153091442</v>
      </c>
      <c r="AO106" s="21">
        <v>5.1935022509971152</v>
      </c>
      <c r="AP106" s="21">
        <v>0.40905016627024898</v>
      </c>
      <c r="AQ106" s="21">
        <v>0.44606527511897204</v>
      </c>
      <c r="AR106" s="21">
        <v>-0.88635664819510862</v>
      </c>
      <c r="AS106" s="15">
        <v>5.1786388720483938</v>
      </c>
      <c r="AT106" s="21">
        <v>0.99227130234963046</v>
      </c>
      <c r="AU106" s="22">
        <v>10.122536561606665</v>
      </c>
      <c r="AV106" s="21">
        <v>-0.76036183482417852</v>
      </c>
      <c r="AW106" s="15">
        <v>-0.63753605200760255</v>
      </c>
      <c r="AX106" s="21">
        <v>-0.76036183482417852</v>
      </c>
      <c r="AY106" s="15">
        <v>-0.58493870397624781</v>
      </c>
      <c r="AZ106" s="15">
        <v>-0.25357233721371908</v>
      </c>
      <c r="BA106" s="15">
        <v>37.570721593840858</v>
      </c>
      <c r="BB106" s="15">
        <v>0.95932445359565599</v>
      </c>
      <c r="BC106" s="15">
        <v>-14.806022736431094</v>
      </c>
      <c r="BD106" s="19">
        <v>-4.1761649000624885</v>
      </c>
      <c r="BE106" s="2">
        <v>8.9804171332116239E-2</v>
      </c>
      <c r="BF106" s="19">
        <v>25.291242584247012</v>
      </c>
      <c r="BG106" s="2">
        <v>60.266599999999997</v>
      </c>
      <c r="BH106" s="19">
        <v>5.4899999999999997E-2</v>
      </c>
      <c r="BI106" s="19">
        <v>0.37645884288544096</v>
      </c>
      <c r="BJ106" s="19">
        <v>0.39767215395965178</v>
      </c>
      <c r="BK106" s="19">
        <v>52.255059744627232</v>
      </c>
      <c r="BL106" s="19">
        <v>23.304439596916414</v>
      </c>
      <c r="BM106" s="2">
        <v>0.41950152571176391</v>
      </c>
      <c r="BN106" s="19">
        <v>57.216153084953966</v>
      </c>
      <c r="BO106" s="19">
        <v>-51.247228357872125</v>
      </c>
      <c r="BP106" s="19">
        <v>25.289326219451112</v>
      </c>
      <c r="BQ106" s="19">
        <v>2.8035225776112997</v>
      </c>
      <c r="BR106" s="2">
        <v>153.73472261285619</v>
      </c>
      <c r="BS106" s="2">
        <v>57.147427194911501</v>
      </c>
      <c r="BT106" s="2">
        <v>2.8085487744444921</v>
      </c>
      <c r="BU106" s="2">
        <v>10.152205804867418</v>
      </c>
      <c r="BV106" s="2">
        <v>21.491536527069965</v>
      </c>
      <c r="BW106" s="2">
        <v>11.339330722202547</v>
      </c>
      <c r="BX106" s="19">
        <v>25.667701427132453</v>
      </c>
      <c r="BY106" s="2">
        <v>-0.38992330843347478</v>
      </c>
      <c r="BZ106" s="19">
        <v>-0.80750131140287418</v>
      </c>
      <c r="CA106" s="19">
        <v>-0.64390841148025979</v>
      </c>
      <c r="CB106" s="19">
        <v>-0.64005227796805808</v>
      </c>
      <c r="CC106" s="19">
        <v>-0.69608105807485665</v>
      </c>
      <c r="CD106" s="19">
        <v>-0.7424184416406171</v>
      </c>
      <c r="CE106" s="19">
        <v>-0.78757673351164525</v>
      </c>
      <c r="CF106" s="19">
        <v>-0.74686893637527585</v>
      </c>
      <c r="CG106" s="19">
        <v>-0.71391660106756039</v>
      </c>
      <c r="CH106" s="19">
        <v>-0.69398337884323902</v>
      </c>
      <c r="CI106" s="19">
        <v>-0.68838605117342622</v>
      </c>
      <c r="CJ106" s="19">
        <v>-0.69763370509878497</v>
      </c>
      <c r="CK106" s="2">
        <v>2.6710010791076595</v>
      </c>
      <c r="CL106" s="19">
        <v>-2.6289365445495823E-2</v>
      </c>
      <c r="CM106" s="19">
        <v>-6.7464779950409628E-2</v>
      </c>
      <c r="CN106" s="19">
        <v>-5.7250941247178076E-2</v>
      </c>
      <c r="CO106" s="19">
        <v>-8.8269170561250748E-2</v>
      </c>
      <c r="CP106" s="19">
        <v>-7.1945008645797198E-2</v>
      </c>
      <c r="CQ106" s="2">
        <v>4.7762746035663016E-2</v>
      </c>
      <c r="CR106" s="19">
        <v>57.76831975558261</v>
      </c>
      <c r="CS106" s="19">
        <v>58.123820073993663</v>
      </c>
      <c r="CT106" s="19">
        <v>-51.746692898189515</v>
      </c>
      <c r="CU106" s="19">
        <v>26.324077686318311</v>
      </c>
      <c r="CV106" s="19">
        <v>2.7750978467667591</v>
      </c>
      <c r="CW106" s="15">
        <v>-51.746692898189515</v>
      </c>
      <c r="CX106" s="15">
        <v>23.048553555412838</v>
      </c>
      <c r="CY106" s="21">
        <v>13.016236518199779</v>
      </c>
      <c r="CZ106" s="15">
        <v>155.99127606853713</v>
      </c>
      <c r="DA106" s="15">
        <v>56.647648202694796</v>
      </c>
      <c r="DB106" s="15">
        <v>12.940542304027309</v>
      </c>
      <c r="DC106" s="15">
        <v>50.667950419319254</v>
      </c>
      <c r="DD106" s="15">
        <v>0.86747496817748559</v>
      </c>
      <c r="DE106" s="15">
        <v>3.228121732107779E-2</v>
      </c>
      <c r="DF106" s="15">
        <v>5.0039148140896419</v>
      </c>
      <c r="DG106" s="15">
        <v>1.5236879999999999</v>
      </c>
      <c r="DH106" s="15">
        <v>9.3422313749067676E-2</v>
      </c>
      <c r="DI106" s="15">
        <v>0.4298609699544329</v>
      </c>
      <c r="DJ106" s="21">
        <v>0.47210052870529806</v>
      </c>
      <c r="DK106" s="21">
        <v>1.2146729622664301</v>
      </c>
      <c r="DL106" s="21">
        <v>0.68987899403004305</v>
      </c>
      <c r="DM106" s="15">
        <v>0.51652329161329347</v>
      </c>
      <c r="DN106" s="21">
        <v>1.3969121059196989</v>
      </c>
      <c r="DO106" s="21">
        <v>1.3888749964201215</v>
      </c>
      <c r="DP106" s="21">
        <v>0.14635341460964429</v>
      </c>
      <c r="DQ106" s="21">
        <v>-3.1150505872499349E-2</v>
      </c>
      <c r="DR106" s="15">
        <v>6.0154533283627067</v>
      </c>
      <c r="DS106" s="15">
        <v>1.3965647416603697</v>
      </c>
      <c r="DT106" s="15">
        <v>-1.2777757901117259</v>
      </c>
      <c r="DU106" s="21">
        <v>8.0545428666775425E-5</v>
      </c>
      <c r="DV106" s="21">
        <v>1.3888747906776178</v>
      </c>
      <c r="DW106" s="21">
        <v>0.14635536706625835</v>
      </c>
      <c r="DX106" s="21">
        <v>-3.1150505872499352E-2</v>
      </c>
      <c r="DY106" s="10">
        <v>-0.76036093858612908</v>
      </c>
      <c r="DZ106" s="10">
        <v>-0.63753712091065917</v>
      </c>
      <c r="EA106" s="10">
        <v>0.62851385209148869</v>
      </c>
      <c r="EB106" s="15">
        <v>-0.49118175384440083</v>
      </c>
      <c r="EC106" s="15">
        <v>-3.1150505872499352E-2</v>
      </c>
      <c r="ED106" s="15">
        <v>0.62851385209148869</v>
      </c>
      <c r="EE106" s="21">
        <v>-0.4382690354834321</v>
      </c>
      <c r="EF106" s="15">
        <v>-0.22394222884975548</v>
      </c>
      <c r="EG106" s="15">
        <v>-34.888451923339829</v>
      </c>
      <c r="EH106" s="15">
        <v>0.76623065047964478</v>
      </c>
      <c r="EI106" s="15">
        <v>-16.291782028487589</v>
      </c>
      <c r="EJ106" s="15">
        <v>241.54767841119619</v>
      </c>
      <c r="EK106" s="19">
        <v>1.3412783722145607</v>
      </c>
      <c r="EL106" s="19">
        <v>5.9250249651075157E-2</v>
      </c>
      <c r="EM106" s="19">
        <v>0.95969060824876695</v>
      </c>
      <c r="EN106" s="19">
        <v>0.72333000000000003</v>
      </c>
      <c r="EO106" s="2">
        <v>6.7640403413012284E-3</v>
      </c>
      <c r="EP106" s="19">
        <v>4.7647055867865475</v>
      </c>
      <c r="EQ106" s="19">
        <v>4.757948411778834</v>
      </c>
      <c r="ER106" s="19">
        <v>2.8050470992744773E-2</v>
      </c>
      <c r="ES106" s="19">
        <v>-0.72256290561547509</v>
      </c>
      <c r="ET106" s="2">
        <v>4.7511902976203668</v>
      </c>
      <c r="EU106" s="19">
        <v>0.72310717151359571</v>
      </c>
      <c r="EV106" s="19">
        <v>0.51897338738923138</v>
      </c>
      <c r="EW106" s="19">
        <v>0.50300382265532773</v>
      </c>
      <c r="EX106" s="19">
        <v>-2.3189632818718667E-2</v>
      </c>
      <c r="EY106" s="2">
        <v>44.10484121039979</v>
      </c>
      <c r="EZ106" s="2">
        <v>0.72273523673896345</v>
      </c>
      <c r="FA106" s="2">
        <v>-1.8377579301695657</v>
      </c>
      <c r="FB106" s="19">
        <v>8.0545428666775425E-5</v>
      </c>
      <c r="FC106" s="19">
        <v>0.51897268027453225</v>
      </c>
      <c r="FD106" s="19">
        <v>0.50300455221875862</v>
      </c>
      <c r="FE106" s="19">
        <v>-2.3189632818718674E-2</v>
      </c>
      <c r="FF106" s="13">
        <v>-0.76036093858612908</v>
      </c>
      <c r="FG106" s="13">
        <v>-0.63753712091065917</v>
      </c>
      <c r="FH106" s="13">
        <v>-0.24138825831159683</v>
      </c>
      <c r="FI106" s="2">
        <v>-0.13453256869190056</v>
      </c>
      <c r="FJ106" s="2">
        <v>-2.3189632818718674E-2</v>
      </c>
      <c r="FK106" s="2">
        <v>-0.24138825831159683</v>
      </c>
      <c r="FL106" s="19">
        <v>-0.11421010044253707</v>
      </c>
      <c r="FM106" s="2">
        <v>-7.4785186140127552E-2</v>
      </c>
      <c r="FN106" s="23">
        <v>205.32063781419907</v>
      </c>
      <c r="FO106" s="2">
        <v>0.26704351385832348</v>
      </c>
      <c r="FP106" s="23">
        <v>-15.644833324014261</v>
      </c>
      <c r="FQ106" s="2">
        <v>1.3385886736572843</v>
      </c>
      <c r="FR106" s="19">
        <v>1.7565816676335155</v>
      </c>
      <c r="FS106" s="19">
        <v>2.2722939944404757E-2</v>
      </c>
      <c r="FT106" s="19">
        <v>4.7820433853614821</v>
      </c>
      <c r="FU106" s="19">
        <v>5.2025600000000001</v>
      </c>
      <c r="FV106" s="19">
        <v>4.8528753237115828E-2</v>
      </c>
      <c r="FW106" s="19">
        <v>4.0429335188412292</v>
      </c>
      <c r="FX106" s="19">
        <v>4.0060252296715664</v>
      </c>
      <c r="FY106" s="19">
        <v>-3.6293091239145054</v>
      </c>
      <c r="FZ106" s="19">
        <v>-3.9530652637714723</v>
      </c>
      <c r="GA106" s="2">
        <v>3.9696634133034703</v>
      </c>
      <c r="GB106" s="19">
        <v>5.3664336105616455</v>
      </c>
      <c r="GC106" s="19">
        <v>-2.511872948273258</v>
      </c>
      <c r="GD106" s="19">
        <v>-4.7416586137436481</v>
      </c>
      <c r="GE106" s="19">
        <v>7.6010387509691774E-2</v>
      </c>
      <c r="GF106" s="19">
        <v>242.08787004449258</v>
      </c>
      <c r="GG106" s="19">
        <v>8.6796322412990134E-3</v>
      </c>
      <c r="GH106" s="2">
        <v>242.09654967673387</v>
      </c>
      <c r="GI106" s="2">
        <v>5.3658952764246459</v>
      </c>
      <c r="GJ106" s="2">
        <v>0.81156692728957436</v>
      </c>
      <c r="GK106" s="19">
        <v>8.0545428666775425E-5</v>
      </c>
      <c r="GL106" s="19">
        <v>-2.5111479480328986</v>
      </c>
      <c r="GM106" s="19">
        <v>-4.7420426084807055</v>
      </c>
      <c r="GN106" s="19">
        <v>7.6010387509691774E-2</v>
      </c>
      <c r="GO106" s="13">
        <v>-0.76036093858612908</v>
      </c>
      <c r="GP106" s="13">
        <v>-0.63753712091065917</v>
      </c>
      <c r="GQ106" s="13">
        <v>-3.2715088866190278</v>
      </c>
      <c r="GR106" s="2">
        <v>-5.3795797293913648</v>
      </c>
      <c r="GS106" s="2">
        <v>7.6010387509691774E-2</v>
      </c>
      <c r="GT106" s="2">
        <v>-3.2715088866190278</v>
      </c>
      <c r="GU106" s="19">
        <v>-4.9659913414795982</v>
      </c>
      <c r="GV106" s="2">
        <v>-2.069924066297482</v>
      </c>
      <c r="GW106" s="23">
        <v>236.62380168062597</v>
      </c>
      <c r="GX106" s="2">
        <v>5.9467504066403878</v>
      </c>
      <c r="GY106" s="23">
        <v>-19.191806150435109</v>
      </c>
      <c r="GZ106" s="2">
        <v>330.03542480723036</v>
      </c>
      <c r="HA106" s="19">
        <v>1.9866708169023066</v>
      </c>
      <c r="HB106" s="19">
        <v>4.3421280511427005E-2</v>
      </c>
      <c r="HC106" s="19">
        <v>5.9271160469713866</v>
      </c>
      <c r="HD106" s="19">
        <v>9.5547500000000003</v>
      </c>
      <c r="HE106" s="19">
        <v>5.5480633027665413E-2</v>
      </c>
      <c r="HF106" s="2">
        <v>3.2657215439432861</v>
      </c>
      <c r="HG106" s="19">
        <v>3.259230634621161</v>
      </c>
      <c r="HH106" s="19">
        <v>-10.018817152447173</v>
      </c>
      <c r="HI106" s="19">
        <v>-1.1196836023428705</v>
      </c>
      <c r="HJ106" s="2">
        <v>3.2528888919117804</v>
      </c>
      <c r="HK106" s="19">
        <v>10.081189835705167</v>
      </c>
      <c r="HL106" s="19">
        <v>1.7186088065740432</v>
      </c>
      <c r="HM106" s="19">
        <v>-9.9330522210611392</v>
      </c>
      <c r="HN106" s="19">
        <v>0.10604643871302689</v>
      </c>
      <c r="HO106" s="19">
        <v>-80.183829621896209</v>
      </c>
      <c r="HP106" s="19">
        <v>-0.13093099879677264</v>
      </c>
      <c r="HQ106" s="2">
        <v>-80.314760620692979</v>
      </c>
      <c r="HR106" s="2">
        <v>10.080632056392172</v>
      </c>
      <c r="HS106" s="2">
        <v>0.60271907696383675</v>
      </c>
      <c r="HT106" s="2">
        <v>-2.2779379971270327E-3</v>
      </c>
      <c r="HU106" s="2">
        <v>0.6004411389667097</v>
      </c>
      <c r="HV106" s="19">
        <v>8.0545428666775425E-5</v>
      </c>
      <c r="HW106" s="19">
        <v>1.6959202334840269</v>
      </c>
      <c r="HX106" s="19">
        <v>-9.9369553717519654</v>
      </c>
      <c r="HY106" s="19">
        <v>0.10564565771680923</v>
      </c>
      <c r="HZ106" s="13">
        <v>-0.76036093858612908</v>
      </c>
      <c r="IA106" s="13">
        <v>-0.63753712091065917</v>
      </c>
      <c r="IB106" s="13">
        <v>0.9355592948978978</v>
      </c>
      <c r="IC106" s="2">
        <v>-10.574492492662625</v>
      </c>
      <c r="ID106" s="2">
        <v>0.10564565771680923</v>
      </c>
      <c r="IE106" s="2">
        <v>0.9355592948978978</v>
      </c>
      <c r="IF106" s="19">
        <v>-9.74410577442743</v>
      </c>
      <c r="IG106" s="2">
        <v>-4.1089481791746447</v>
      </c>
      <c r="IH106" s="23">
        <v>-84.515680443857462</v>
      </c>
      <c r="II106" s="2">
        <v>9.7889155955856442</v>
      </c>
      <c r="IJ106" s="23">
        <v>-22.770481646235844</v>
      </c>
      <c r="IK106" s="2">
        <v>291.17490693171385</v>
      </c>
    </row>
    <row r="107" spans="1:245" ht="15" hidden="1">
      <c r="A107" s="85"/>
      <c r="B107" s="205" t="s">
        <v>207</v>
      </c>
      <c r="C107" s="85">
        <v>22.136388888888888</v>
      </c>
      <c r="D107" s="85">
        <v>-46.965000000000003</v>
      </c>
      <c r="E107" s="206">
        <v>27.755036336627199</v>
      </c>
      <c r="F107" s="206">
        <v>-46.872328299634276</v>
      </c>
      <c r="G107" s="206">
        <v>4.3466670024588936</v>
      </c>
      <c r="H107" s="206">
        <v>-8.3684065664796563</v>
      </c>
      <c r="I107" s="85">
        <v>27.75312847721273</v>
      </c>
      <c r="J107" s="85">
        <v>-46.872779956324941</v>
      </c>
      <c r="K107" s="85">
        <v>6879.9668977831307</v>
      </c>
      <c r="L107" s="206">
        <v>150.23492674063891</v>
      </c>
      <c r="M107" s="85">
        <v>0.18836322786538345</v>
      </c>
      <c r="N107" s="201">
        <v>120.72437074655622</v>
      </c>
      <c r="O107" s="201">
        <v>221.68770516661607</v>
      </c>
      <c r="P107" s="201">
        <v>151.48808960222232</v>
      </c>
      <c r="Q107" s="201">
        <v>23.436848667794319</v>
      </c>
      <c r="R107" s="201">
        <v>-13.483020195137604</v>
      </c>
      <c r="S107" s="201">
        <v>-4.5371579716421895</v>
      </c>
      <c r="T107" s="201">
        <v>18.899690696152128</v>
      </c>
      <c r="U107" s="15">
        <v>-3.5433643266591435E-3</v>
      </c>
      <c r="V107" s="15">
        <v>209.76861662368773</v>
      </c>
      <c r="W107" s="15">
        <v>221.68248488600875</v>
      </c>
      <c r="X107" s="15">
        <v>298.42525808733262</v>
      </c>
      <c r="Y107" s="15">
        <v>-1.7008702654524523</v>
      </c>
      <c r="Z107" s="15">
        <v>219.98161462055629</v>
      </c>
      <c r="AA107" s="15">
        <v>4.1109398897088711</v>
      </c>
      <c r="AB107" s="15">
        <v>23.436848667794319</v>
      </c>
      <c r="AC107" s="15">
        <v>-14.806966160080719</v>
      </c>
      <c r="AD107" s="15">
        <v>-0.58953143756799975</v>
      </c>
      <c r="AE107" s="15">
        <v>-0.76625066483941806</v>
      </c>
      <c r="AF107" s="15">
        <v>217.57365812815561</v>
      </c>
      <c r="AG107" s="15">
        <v>29.765073259361088</v>
      </c>
      <c r="AH107" s="15">
        <v>352.19141513120547</v>
      </c>
      <c r="AI107" s="15">
        <v>0</v>
      </c>
      <c r="AJ107" s="21">
        <v>0</v>
      </c>
      <c r="AK107" s="21">
        <v>4.9438976966300476</v>
      </c>
      <c r="AL107" s="15">
        <v>1</v>
      </c>
      <c r="AM107" s="21">
        <v>1.6701079431600652E-2</v>
      </c>
      <c r="AN107" s="21">
        <v>5.2084561175419353</v>
      </c>
      <c r="AO107" s="21">
        <v>5.1936514069979385</v>
      </c>
      <c r="AP107" s="21">
        <v>0.40905016621674539</v>
      </c>
      <c r="AQ107" s="21">
        <v>0.44619749383525764</v>
      </c>
      <c r="AR107" s="21">
        <v>-0.88628762358415414</v>
      </c>
      <c r="AS107" s="15">
        <v>5.1787891690205994</v>
      </c>
      <c r="AT107" s="21">
        <v>0.99226909415909559</v>
      </c>
      <c r="AU107" s="22">
        <v>10.122686865650646</v>
      </c>
      <c r="AV107" s="21">
        <v>-0.76026431010067319</v>
      </c>
      <c r="AW107" s="15">
        <v>-0.63764891124384393</v>
      </c>
      <c r="AX107" s="21">
        <v>-0.76026431010067319</v>
      </c>
      <c r="AY107" s="15">
        <v>-0.58504225222865158</v>
      </c>
      <c r="AZ107" s="15">
        <v>-0.25361722559338595</v>
      </c>
      <c r="BA107" s="15">
        <v>37.579175048211454</v>
      </c>
      <c r="BB107" s="15">
        <v>0.95931030334591205</v>
      </c>
      <c r="BC107" s="15">
        <v>-14.808737426599896</v>
      </c>
      <c r="BD107" s="19">
        <v>-4.1761728518480075</v>
      </c>
      <c r="BE107" s="2">
        <v>8.9804171332116239E-2</v>
      </c>
      <c r="BF107" s="19">
        <v>25.291267264892603</v>
      </c>
      <c r="BG107" s="2">
        <v>60.266599999999997</v>
      </c>
      <c r="BH107" s="19">
        <v>5.4899999999999997E-2</v>
      </c>
      <c r="BI107" s="19">
        <v>0.37842074185154218</v>
      </c>
      <c r="BJ107" s="19">
        <v>0.39973848659900857</v>
      </c>
      <c r="BK107" s="19">
        <v>52.206713699935129</v>
      </c>
      <c r="BL107" s="19">
        <v>23.419029687843114</v>
      </c>
      <c r="BM107" s="2">
        <v>0.42167469087735077</v>
      </c>
      <c r="BN107" s="19">
        <v>57.21880728280756</v>
      </c>
      <c r="BO107" s="19">
        <v>-51.304359922692278</v>
      </c>
      <c r="BP107" s="19">
        <v>25.178186437545122</v>
      </c>
      <c r="BQ107" s="19">
        <v>2.8130921609745752</v>
      </c>
      <c r="BR107" s="2">
        <v>153.85998971379667</v>
      </c>
      <c r="BS107" s="2">
        <v>57.149614341314106</v>
      </c>
      <c r="BT107" s="2">
        <v>2.8180124093137353</v>
      </c>
      <c r="BU107" s="2">
        <v>10.152353814171983</v>
      </c>
      <c r="BV107" s="2">
        <v>21.493515154896137</v>
      </c>
      <c r="BW107" s="2">
        <v>11.341161340724154</v>
      </c>
      <c r="BX107" s="19">
        <v>25.669688006744146</v>
      </c>
      <c r="BY107" s="2">
        <v>-0.39198380812863953</v>
      </c>
      <c r="BZ107" s="19">
        <v>-0.81142082053373377</v>
      </c>
      <c r="CA107" s="19">
        <v>-0.64784102153110146</v>
      </c>
      <c r="CB107" s="19">
        <v>-0.64396943018155495</v>
      </c>
      <c r="CC107" s="19">
        <v>-0.70001439681917099</v>
      </c>
      <c r="CD107" s="19">
        <v>-0.74649571000015946</v>
      </c>
      <c r="CE107" s="19">
        <v>-0.79162294909723185</v>
      </c>
      <c r="CF107" s="19">
        <v>-0.75090635581628773</v>
      </c>
      <c r="CG107" s="19">
        <v>-0.71797566953031466</v>
      </c>
      <c r="CH107" s="19">
        <v>-0.69809258420422016</v>
      </c>
      <c r="CI107" s="19">
        <v>-0.69249091593110013</v>
      </c>
      <c r="CJ107" s="19">
        <v>-0.70177036755240374</v>
      </c>
      <c r="CK107" s="2">
        <v>2.6731152040836395</v>
      </c>
      <c r="CL107" s="19">
        <v>-2.6575679537928276E-2</v>
      </c>
      <c r="CM107" s="19">
        <v>-6.7885215413647809E-2</v>
      </c>
      <c r="CN107" s="19">
        <v>-5.7658493852792397E-2</v>
      </c>
      <c r="CO107" s="19">
        <v>-8.8739843062368193E-2</v>
      </c>
      <c r="CP107" s="19">
        <v>-7.2387917509948871E-2</v>
      </c>
      <c r="CQ107" s="2">
        <v>4.7920187405372135E-2</v>
      </c>
      <c r="CR107" s="19">
        <v>57.770671496443931</v>
      </c>
      <c r="CS107" s="19">
        <v>58.12510063221859</v>
      </c>
      <c r="CT107" s="19">
        <v>-51.802980397881271</v>
      </c>
      <c r="CU107" s="19">
        <v>26.214999903944236</v>
      </c>
      <c r="CV107" s="19">
        <v>2.7842998111679571</v>
      </c>
      <c r="CW107" s="15">
        <v>-51.802980397881271</v>
      </c>
      <c r="CX107" s="15">
        <v>22.944814826248265</v>
      </c>
      <c r="CY107" s="21">
        <v>12.981294927373156</v>
      </c>
      <c r="CZ107" s="15">
        <v>156.11026845609109</v>
      </c>
      <c r="DA107" s="15">
        <v>56.656979318651409</v>
      </c>
      <c r="DB107" s="15">
        <v>12.904914209683387</v>
      </c>
      <c r="DC107" s="15">
        <v>53.654804803269997</v>
      </c>
      <c r="DD107" s="15">
        <v>0.86747497134717422</v>
      </c>
      <c r="DE107" s="15">
        <v>3.2281217318404859E-2</v>
      </c>
      <c r="DF107" s="15">
        <v>5.0039148184888793</v>
      </c>
      <c r="DG107" s="15">
        <v>1.5236879999999999</v>
      </c>
      <c r="DH107" s="15">
        <v>9.3422313770714818E-2</v>
      </c>
      <c r="DI107" s="15">
        <v>0.42993965930570255</v>
      </c>
      <c r="DJ107" s="21">
        <v>0.47218634867431347</v>
      </c>
      <c r="DK107" s="21">
        <v>1.2146134917744549</v>
      </c>
      <c r="DL107" s="21">
        <v>0.68999494152600316</v>
      </c>
      <c r="DM107" s="15">
        <v>0.51661649055591852</v>
      </c>
      <c r="DN107" s="21">
        <v>1.3969176617582033</v>
      </c>
      <c r="DO107" s="21">
        <v>1.3888669408271153</v>
      </c>
      <c r="DP107" s="21">
        <v>0.14648345279149574</v>
      </c>
      <c r="DQ107" s="21">
        <v>-3.1147591685679203E-2</v>
      </c>
      <c r="DR107" s="15">
        <v>6.0207932120819008</v>
      </c>
      <c r="DS107" s="15">
        <v>1.3965703638786655</v>
      </c>
      <c r="DT107" s="15">
        <v>-1.2776511496770431</v>
      </c>
      <c r="DU107" s="21">
        <v>8.0216424680307907E-5</v>
      </c>
      <c r="DV107" s="21">
        <v>1.3888667357429547</v>
      </c>
      <c r="DW107" s="21">
        <v>0.14648539726163073</v>
      </c>
      <c r="DX107" s="21">
        <v>-3.1147591685679207E-2</v>
      </c>
      <c r="DY107" s="10">
        <v>-0.76026341736548408</v>
      </c>
      <c r="DZ107" s="10">
        <v>-0.63764997564421499</v>
      </c>
      <c r="EA107" s="10">
        <v>0.62860331837747063</v>
      </c>
      <c r="EB107" s="15">
        <v>-0.49116457838258426</v>
      </c>
      <c r="EC107" s="15">
        <v>-3.1147591685679207E-2</v>
      </c>
      <c r="ED107" s="15">
        <v>0.62860331837747063</v>
      </c>
      <c r="EE107" s="21">
        <v>-0.43825443610903159</v>
      </c>
      <c r="EF107" s="15">
        <v>-0.22393272372816417</v>
      </c>
      <c r="EG107" s="15">
        <v>-34.883730332459521</v>
      </c>
      <c r="EH107" s="15">
        <v>0.76629568878104293</v>
      </c>
      <c r="EI107" s="15">
        <v>-16.289817835165998</v>
      </c>
      <c r="EJ107" s="15">
        <v>244.64880359182061</v>
      </c>
      <c r="EK107" s="19">
        <v>1.3412783759174687</v>
      </c>
      <c r="EL107" s="19">
        <v>5.925024965520468E-2</v>
      </c>
      <c r="EM107" s="19">
        <v>0.95969061032665415</v>
      </c>
      <c r="EN107" s="19">
        <v>0.72333000000000003</v>
      </c>
      <c r="EO107" s="2">
        <v>6.7640403300990868E-3</v>
      </c>
      <c r="EP107" s="19">
        <v>4.7649461699726174</v>
      </c>
      <c r="EQ107" s="19">
        <v>4.7581890693215723</v>
      </c>
      <c r="ER107" s="19">
        <v>2.8224364236611087E-2</v>
      </c>
      <c r="ES107" s="19">
        <v>-0.72255495686644555</v>
      </c>
      <c r="ET107" s="2">
        <v>4.7514310240226392</v>
      </c>
      <c r="EU107" s="19">
        <v>0.72310599529310493</v>
      </c>
      <c r="EV107" s="19">
        <v>0.51885172685660519</v>
      </c>
      <c r="EW107" s="19">
        <v>0.50312802594501949</v>
      </c>
      <c r="EX107" s="19">
        <v>-2.3180929131908907E-2</v>
      </c>
      <c r="EY107" s="2">
        <v>44.118623785737711</v>
      </c>
      <c r="EZ107" s="2">
        <v>0.72273433912704976</v>
      </c>
      <c r="FA107" s="2">
        <v>-1.8370709234077411</v>
      </c>
      <c r="FB107" s="19">
        <v>8.0216424680307907E-5</v>
      </c>
      <c r="FC107" s="19">
        <v>0.5188510224563706</v>
      </c>
      <c r="FD107" s="19">
        <v>0.50312875235807408</v>
      </c>
      <c r="FE107" s="19">
        <v>-2.3180929131908903E-2</v>
      </c>
      <c r="FF107" s="13">
        <v>-0.76026341736548408</v>
      </c>
      <c r="FG107" s="13">
        <v>-0.63764997564421499</v>
      </c>
      <c r="FH107" s="13">
        <v>-0.24141239490911348</v>
      </c>
      <c r="FI107" s="2">
        <v>-0.13452122328614091</v>
      </c>
      <c r="FJ107" s="2">
        <v>-2.3180929131908903E-2</v>
      </c>
      <c r="FK107" s="2">
        <v>-0.24141239490911348</v>
      </c>
      <c r="FL107" s="19">
        <v>-0.11420315283526751</v>
      </c>
      <c r="FM107" s="2">
        <v>-7.4772688010415228E-2</v>
      </c>
      <c r="FN107" s="23">
        <v>205.3170758004245</v>
      </c>
      <c r="FO107" s="2">
        <v>0.26706236075731304</v>
      </c>
      <c r="FP107" s="23">
        <v>-15.641296894462792</v>
      </c>
      <c r="FQ107" s="2">
        <v>4.4479974589365838</v>
      </c>
      <c r="FR107" s="19">
        <v>1.7565816717908813</v>
      </c>
      <c r="FS107" s="19">
        <v>2.2722939921024133E-2</v>
      </c>
      <c r="FT107" s="19">
        <v>4.7820433878317647</v>
      </c>
      <c r="FU107" s="19">
        <v>5.2025600000000001</v>
      </c>
      <c r="FV107" s="19">
        <v>4.8528753275566189E-2</v>
      </c>
      <c r="FW107" s="19">
        <v>4.0429459953090667</v>
      </c>
      <c r="FX107" s="19">
        <v>4.0060373236328717</v>
      </c>
      <c r="FY107" s="19">
        <v>-3.6292612592544962</v>
      </c>
      <c r="FZ107" s="19">
        <v>-3.9531060546738681</v>
      </c>
      <c r="GA107" s="2">
        <v>3.9696751241141173</v>
      </c>
      <c r="GB107" s="19">
        <v>5.3664312878695029</v>
      </c>
      <c r="GC107" s="19">
        <v>-2.5118163114504317</v>
      </c>
      <c r="GD107" s="19">
        <v>-4.7416860061296582</v>
      </c>
      <c r="GE107" s="19">
        <v>7.6009237796749105E-2</v>
      </c>
      <c r="GF107" s="19">
        <v>242.08854103661227</v>
      </c>
      <c r="GG107" s="19">
        <v>8.6797020276758487E-3</v>
      </c>
      <c r="GH107" s="2">
        <v>242.09722073863995</v>
      </c>
      <c r="GI107" s="2">
        <v>5.3658929697855768</v>
      </c>
      <c r="GJ107" s="2">
        <v>0.81155500220224464</v>
      </c>
      <c r="GK107" s="19">
        <v>8.0216424680307907E-5</v>
      </c>
      <c r="GL107" s="19">
        <v>-2.5110913284766752</v>
      </c>
      <c r="GM107" s="19">
        <v>-4.7420699808462894</v>
      </c>
      <c r="GN107" s="19">
        <v>7.6009237796749132E-2</v>
      </c>
      <c r="GO107" s="13">
        <v>-0.76026341736548408</v>
      </c>
      <c r="GP107" s="13">
        <v>-0.63764997564421499</v>
      </c>
      <c r="GQ107" s="13">
        <v>-3.2713547458421592</v>
      </c>
      <c r="GR107" s="2">
        <v>-5.3797199564905043</v>
      </c>
      <c r="GS107" s="2">
        <v>7.6009237796749132E-2</v>
      </c>
      <c r="GT107" s="2">
        <v>-3.2713547458421592</v>
      </c>
      <c r="GU107" s="19">
        <v>-4.9661195425315201</v>
      </c>
      <c r="GV107" s="2">
        <v>-2.06998089454448</v>
      </c>
      <c r="GW107" s="23">
        <v>236.62572138015099</v>
      </c>
      <c r="GX107" s="2">
        <v>5.9467726695962986</v>
      </c>
      <c r="GY107" s="23">
        <v>-19.192227914593278</v>
      </c>
      <c r="GZ107" s="2">
        <v>333.1393518792101</v>
      </c>
      <c r="HA107" s="19">
        <v>1.9866708204909396</v>
      </c>
      <c r="HB107" s="19">
        <v>4.3421280495194212E-2</v>
      </c>
      <c r="HC107" s="19">
        <v>5.9271160514411996</v>
      </c>
      <c r="HD107" s="19">
        <v>9.5547500000000003</v>
      </c>
      <c r="HE107" s="19">
        <v>5.5480632945937955E-2</v>
      </c>
      <c r="HF107" s="2">
        <v>3.26572656608122</v>
      </c>
      <c r="HG107" s="19">
        <v>3.2592353952653088</v>
      </c>
      <c r="HH107" s="19">
        <v>-10.018811812920811</v>
      </c>
      <c r="HI107" s="19">
        <v>-1.1197287051478602</v>
      </c>
      <c r="HJ107" s="2">
        <v>3.2528933970146001</v>
      </c>
      <c r="HK107" s="19">
        <v>10.081189538732703</v>
      </c>
      <c r="HL107" s="19">
        <v>1.7186535515588492</v>
      </c>
      <c r="HM107" s="19">
        <v>-9.9330441982877655</v>
      </c>
      <c r="HN107" s="19">
        <v>0.10604452097879025</v>
      </c>
      <c r="HO107" s="19">
        <v>-80.1835715807875</v>
      </c>
      <c r="HP107" s="19">
        <v>-0.13093029769364725</v>
      </c>
      <c r="HQ107" s="2">
        <v>-80.314501878481153</v>
      </c>
      <c r="HR107" s="2">
        <v>10.080631779577315</v>
      </c>
      <c r="HS107" s="2">
        <v>0.60270819479962046</v>
      </c>
      <c r="HT107" s="2">
        <v>-2.2779363705373559E-3</v>
      </c>
      <c r="HU107" s="2">
        <v>0.60043025842908315</v>
      </c>
      <c r="HV107" s="19">
        <v>8.0216424680307907E-5</v>
      </c>
      <c r="HW107" s="19">
        <v>1.695965061213746</v>
      </c>
      <c r="HX107" s="19">
        <v>-9.9369474400912292</v>
      </c>
      <c r="HY107" s="19">
        <v>0.10564374027976223</v>
      </c>
      <c r="HZ107" s="13">
        <v>-0.76026341736548408</v>
      </c>
      <c r="IA107" s="13">
        <v>-0.63764997564421499</v>
      </c>
      <c r="IB107" s="13">
        <v>0.93570164384826193</v>
      </c>
      <c r="IC107" s="2">
        <v>-10.574597415735445</v>
      </c>
      <c r="ID107" s="2">
        <v>0.10564374027976223</v>
      </c>
      <c r="IE107" s="2">
        <v>0.93570164384826193</v>
      </c>
      <c r="IF107" s="19">
        <v>-9.7442012788258872</v>
      </c>
      <c r="IG107" s="2">
        <v>-4.1089916697977165</v>
      </c>
      <c r="IH107" s="23">
        <v>-84.514904505241049</v>
      </c>
      <c r="II107" s="2">
        <v>9.7890242684637574</v>
      </c>
      <c r="IJ107" s="23">
        <v>-22.77047106975547</v>
      </c>
      <c r="IK107" s="2">
        <v>294.27997776460211</v>
      </c>
    </row>
    <row r="108" spans="1:245" ht="15" hidden="1">
      <c r="A108" s="85"/>
      <c r="B108" s="205" t="s">
        <v>159</v>
      </c>
      <c r="C108" s="85">
        <v>5.6036111111111104</v>
      </c>
      <c r="D108" s="85">
        <v>-1.1950000000000001</v>
      </c>
      <c r="E108" s="206">
        <v>275.70457527897321</v>
      </c>
      <c r="F108" s="206">
        <v>-1.1841322913864107</v>
      </c>
      <c r="G108" s="206">
        <v>4.3466670024588936</v>
      </c>
      <c r="H108" s="206">
        <v>-8.3684065664796563</v>
      </c>
      <c r="I108" s="85">
        <v>275.70481042124993</v>
      </c>
      <c r="J108" s="85">
        <v>-1.1843095201323468</v>
      </c>
      <c r="K108" s="85">
        <v>6879.9670279914117</v>
      </c>
      <c r="L108" s="206">
        <v>150.18792341975495</v>
      </c>
      <c r="M108" s="85">
        <v>0.18836323143029191</v>
      </c>
      <c r="N108" s="201">
        <v>120.7243638515375</v>
      </c>
      <c r="O108" s="201">
        <v>221.68783350606464</v>
      </c>
      <c r="P108" s="201">
        <v>151.48980527815002</v>
      </c>
      <c r="Q108" s="201">
        <v>23.436848667747928</v>
      </c>
      <c r="R108" s="201">
        <v>-13.483013097040667</v>
      </c>
      <c r="S108" s="201">
        <v>-4.5371545134519744</v>
      </c>
      <c r="T108" s="201">
        <v>18.899694154295954</v>
      </c>
      <c r="U108" s="15">
        <v>-3.5433623880448089E-3</v>
      </c>
      <c r="V108" s="15">
        <v>209.81561994263311</v>
      </c>
      <c r="W108" s="15">
        <v>221.68261322546186</v>
      </c>
      <c r="X108" s="15">
        <v>298.42538642065028</v>
      </c>
      <c r="Y108" s="15">
        <v>-1.7008682726860664</v>
      </c>
      <c r="Z108" s="15">
        <v>219.98174495277578</v>
      </c>
      <c r="AA108" s="15">
        <v>4.110940305105764</v>
      </c>
      <c r="AB108" s="15">
        <v>23.436848667747928</v>
      </c>
      <c r="AC108" s="15">
        <v>-14.807007245329794</v>
      </c>
      <c r="AD108" s="15">
        <v>-0.58953303677717628</v>
      </c>
      <c r="AE108" s="15">
        <v>-0.76624920323075274</v>
      </c>
      <c r="AF108" s="15">
        <v>217.57378606367234</v>
      </c>
      <c r="AG108" s="15">
        <v>29.812076580245048</v>
      </c>
      <c r="AH108" s="15">
        <v>352.2382905165727</v>
      </c>
      <c r="AI108" s="15">
        <v>0</v>
      </c>
      <c r="AJ108" s="21">
        <v>0</v>
      </c>
      <c r="AK108" s="21">
        <v>4.9438976967370705</v>
      </c>
      <c r="AL108" s="15">
        <v>1</v>
      </c>
      <c r="AM108" s="21">
        <v>1.6701079431450782E-2</v>
      </c>
      <c r="AN108" s="21">
        <v>5.2084583573808132</v>
      </c>
      <c r="AO108" s="21">
        <v>5.1936536643002817</v>
      </c>
      <c r="AP108" s="21">
        <v>0.40905016621593565</v>
      </c>
      <c r="AQ108" s="21">
        <v>0.44619949473242848</v>
      </c>
      <c r="AR108" s="21">
        <v>-0.88628657882559958</v>
      </c>
      <c r="AS108" s="15">
        <v>5.1787914435927842</v>
      </c>
      <c r="AT108" s="21">
        <v>0.99226906074202481</v>
      </c>
      <c r="AU108" s="22">
        <v>10.122689140329854</v>
      </c>
      <c r="AV108" s="21">
        <v>-0.76026283404828854</v>
      </c>
      <c r="AW108" s="15">
        <v>-0.6376506191251794</v>
      </c>
      <c r="AX108" s="21">
        <v>-0.76026283404828854</v>
      </c>
      <c r="AY108" s="15">
        <v>-0.58504381920831139</v>
      </c>
      <c r="AZ108" s="15">
        <v>-0.2536179048822802</v>
      </c>
      <c r="BA108" s="15">
        <v>37.579302983168297</v>
      </c>
      <c r="BB108" s="15">
        <v>0.95931008919378247</v>
      </c>
      <c r="BC108" s="15">
        <v>-14.808778507952782</v>
      </c>
      <c r="BD108" s="19">
        <v>-4.1761729721888843</v>
      </c>
      <c r="BE108" s="2">
        <v>8.9804171332116239E-2</v>
      </c>
      <c r="BF108" s="19">
        <v>25.291267638405007</v>
      </c>
      <c r="BG108" s="2">
        <v>60.266599999999997</v>
      </c>
      <c r="BH108" s="19">
        <v>5.4899999999999997E-2</v>
      </c>
      <c r="BI108" s="19">
        <v>0.37845043287383362</v>
      </c>
      <c r="BJ108" s="19">
        <v>0.39976975738059922</v>
      </c>
      <c r="BK108" s="19">
        <v>52.205980235301581</v>
      </c>
      <c r="BL108" s="19">
        <v>23.420763066630986</v>
      </c>
      <c r="BM108" s="2">
        <v>0.42170757763072397</v>
      </c>
      <c r="BN108" s="19">
        <v>57.218847550015944</v>
      </c>
      <c r="BO108" s="19">
        <v>-51.305222741751294</v>
      </c>
      <c r="BP108" s="19">
        <v>25.176503581596798</v>
      </c>
      <c r="BQ108" s="19">
        <v>2.8132368860610772</v>
      </c>
      <c r="BR108" s="2">
        <v>153.86188541130923</v>
      </c>
      <c r="BS108" s="2">
        <v>57.149647533251425</v>
      </c>
      <c r="BT108" s="2">
        <v>2.8181555197045647</v>
      </c>
      <c r="BU108" s="2">
        <v>10.152356054117885</v>
      </c>
      <c r="BV108" s="2">
        <v>21.493545099089957</v>
      </c>
      <c r="BW108" s="2">
        <v>11.341189044972072</v>
      </c>
      <c r="BX108" s="19">
        <v>25.66971807127884</v>
      </c>
      <c r="BY108" s="2">
        <v>-0.39201498267646184</v>
      </c>
      <c r="BZ108" s="19">
        <v>-0.81148008586708298</v>
      </c>
      <c r="CA108" s="19">
        <v>-0.64790048515891596</v>
      </c>
      <c r="CB108" s="19">
        <v>-0.64402865987531766</v>
      </c>
      <c r="CC108" s="19">
        <v>-0.70007387044097436</v>
      </c>
      <c r="CD108" s="19">
        <v>-0.74655735054847217</v>
      </c>
      <c r="CE108" s="19">
        <v>-0.79168411541900419</v>
      </c>
      <c r="CF108" s="19">
        <v>-0.7509673900477889</v>
      </c>
      <c r="CG108" s="19">
        <v>-0.71803703224205095</v>
      </c>
      <c r="CH108" s="19">
        <v>-0.69815470635913002</v>
      </c>
      <c r="CI108" s="19">
        <v>-0.69255297240029434</v>
      </c>
      <c r="CJ108" s="19">
        <v>-0.70183290319617864</v>
      </c>
      <c r="CK108" s="2">
        <v>2.6731471987939717</v>
      </c>
      <c r="CL108" s="19">
        <v>-2.6580011992876788E-2</v>
      </c>
      <c r="CM108" s="19">
        <v>-6.7891573330577326E-2</v>
      </c>
      <c r="CN108" s="19">
        <v>-5.766465680937613E-2</v>
      </c>
      <c r="CO108" s="19">
        <v>-8.8746953653455446E-2</v>
      </c>
      <c r="CP108" s="19">
        <v>-7.2394612316511203E-2</v>
      </c>
      <c r="CQ108" s="2">
        <v>4.7922568306468627E-2</v>
      </c>
      <c r="CR108" s="19">
        <v>57.770707174079497</v>
      </c>
      <c r="CS108" s="19">
        <v>58.125120062240164</v>
      </c>
      <c r="CT108" s="19">
        <v>-51.803830514500682</v>
      </c>
      <c r="CU108" s="19">
        <v>26.213348238622601</v>
      </c>
      <c r="CV108" s="19">
        <v>2.7844389731907908</v>
      </c>
      <c r="CW108" s="15">
        <v>-51.803830514500682</v>
      </c>
      <c r="CX108" s="15">
        <v>22.943244074912425</v>
      </c>
      <c r="CY108" s="21">
        <v>12.980765678253281</v>
      </c>
      <c r="CZ108" s="15">
        <v>156.11206898398686</v>
      </c>
      <c r="DA108" s="15">
        <v>56.657120511513078</v>
      </c>
      <c r="DB108" s="15">
        <v>12.90437460580501</v>
      </c>
      <c r="DC108" s="15">
        <v>53.70000759625816</v>
      </c>
      <c r="DD108" s="15">
        <v>0.86747497139514362</v>
      </c>
      <c r="DE108" s="15">
        <v>3.2281217318364405E-2</v>
      </c>
      <c r="DF108" s="15">
        <v>5.0039148185554563</v>
      </c>
      <c r="DG108" s="15">
        <v>1.5236879999999999</v>
      </c>
      <c r="DH108" s="15">
        <v>9.3422313771042431E-2</v>
      </c>
      <c r="DI108" s="15">
        <v>0.42994085017604533</v>
      </c>
      <c r="DJ108" s="21">
        <v>0.4721876474556484</v>
      </c>
      <c r="DK108" s="21">
        <v>1.2146125916837858</v>
      </c>
      <c r="DL108" s="21">
        <v>0.68999669621195148</v>
      </c>
      <c r="DM108" s="15">
        <v>0.51661790100623828</v>
      </c>
      <c r="DN108" s="21">
        <v>1.3969177458462652</v>
      </c>
      <c r="DO108" s="21">
        <v>1.3888668188295017</v>
      </c>
      <c r="DP108" s="21">
        <v>0.14648542075688509</v>
      </c>
      <c r="DQ108" s="21">
        <v>-3.1147547580978319E-2</v>
      </c>
      <c r="DR108" s="15">
        <v>6.0208740245902463</v>
      </c>
      <c r="DS108" s="15">
        <v>1.3965704489713011</v>
      </c>
      <c r="DT108" s="15">
        <v>-1.2776492633135403</v>
      </c>
      <c r="DU108" s="21">
        <v>8.0211445593767161E-5</v>
      </c>
      <c r="DV108" s="21">
        <v>1.3888666137553158</v>
      </c>
      <c r="DW108" s="21">
        <v>0.14648736510615476</v>
      </c>
      <c r="DX108" s="21">
        <v>-3.1147547580978315E-2</v>
      </c>
      <c r="DY108" s="10">
        <v>-0.76026194136612091</v>
      </c>
      <c r="DZ108" s="10">
        <v>-0.6376516834574163</v>
      </c>
      <c r="EA108" s="10">
        <v>0.62860467238919493</v>
      </c>
      <c r="EB108" s="15">
        <v>-0.49116431835126151</v>
      </c>
      <c r="EC108" s="15">
        <v>-3.1147547580978315E-2</v>
      </c>
      <c r="ED108" s="15">
        <v>0.62860467238919493</v>
      </c>
      <c r="EE108" s="21">
        <v>-0.43825421507284712</v>
      </c>
      <c r="EF108" s="15">
        <v>-0.22393257983743975</v>
      </c>
      <c r="EG108" s="15">
        <v>-34.883658875347464</v>
      </c>
      <c r="EH108" s="15">
        <v>0.76629667308337213</v>
      </c>
      <c r="EI108" s="15">
        <v>-16.28978810829771</v>
      </c>
      <c r="EJ108" s="15">
        <v>244.69573545559251</v>
      </c>
      <c r="EK108" s="19">
        <v>1.3412783759735081</v>
      </c>
      <c r="EL108" s="19">
        <v>5.9250249655267179E-2</v>
      </c>
      <c r="EM108" s="19">
        <v>0.95969061035810055</v>
      </c>
      <c r="EN108" s="19">
        <v>0.72333000000000003</v>
      </c>
      <c r="EO108" s="2">
        <v>6.7640403299295557E-3</v>
      </c>
      <c r="EP108" s="19">
        <v>4.7649498109148709</v>
      </c>
      <c r="EQ108" s="19">
        <v>4.7581927113921338</v>
      </c>
      <c r="ER108" s="19">
        <v>2.8226995892854368E-2</v>
      </c>
      <c r="ES108" s="19">
        <v>-0.72255483624997152</v>
      </c>
      <c r="ET108" s="2">
        <v>4.7514346671383167</v>
      </c>
      <c r="EU108" s="19">
        <v>0.72310597749248229</v>
      </c>
      <c r="EV108" s="19">
        <v>0.51884988543726895</v>
      </c>
      <c r="EW108" s="19">
        <v>0.50312990539116065</v>
      </c>
      <c r="EX108" s="19">
        <v>-2.3180797401575786E-2</v>
      </c>
      <c r="EY108" s="2">
        <v>44.118832368993267</v>
      </c>
      <c r="EZ108" s="2">
        <v>0.7227343255423706</v>
      </c>
      <c r="FA108" s="2">
        <v>-1.8370605255388783</v>
      </c>
      <c r="FB108" s="19">
        <v>8.0211445593767161E-5</v>
      </c>
      <c r="FC108" s="19">
        <v>0.51884918107812572</v>
      </c>
      <c r="FD108" s="19">
        <v>0.50313063175654849</v>
      </c>
      <c r="FE108" s="19">
        <v>-2.3180797401575786E-2</v>
      </c>
      <c r="FF108" s="13">
        <v>-0.76026194136612091</v>
      </c>
      <c r="FG108" s="13">
        <v>-0.6376516834574163</v>
      </c>
      <c r="FH108" s="13">
        <v>-0.24141276028799519</v>
      </c>
      <c r="FI108" s="2">
        <v>-0.13452105170086781</v>
      </c>
      <c r="FJ108" s="2">
        <v>-2.3180797401575786E-2</v>
      </c>
      <c r="FK108" s="2">
        <v>-0.24141276028799519</v>
      </c>
      <c r="FL108" s="19">
        <v>-0.11420304780017358</v>
      </c>
      <c r="FM108" s="2">
        <v>-7.4772498901880494E-2</v>
      </c>
      <c r="FN108" s="23">
        <v>205.31702190932975</v>
      </c>
      <c r="FO108" s="2">
        <v>0.26706264612767872</v>
      </c>
      <c r="FP108" s="23">
        <v>-15.641243376749111</v>
      </c>
      <c r="FQ108" s="2">
        <v>4.4950546709152945</v>
      </c>
      <c r="FR108" s="19">
        <v>1.7565816718537985</v>
      </c>
      <c r="FS108" s="19">
        <v>2.2722939920670298E-2</v>
      </c>
      <c r="FT108" s="19">
        <v>4.7820433878691491</v>
      </c>
      <c r="FU108" s="19">
        <v>5.2025600000000001</v>
      </c>
      <c r="FV108" s="19">
        <v>4.8528753276148091E-2</v>
      </c>
      <c r="FW108" s="19">
        <v>4.0429461841256629</v>
      </c>
      <c r="FX108" s="19">
        <v>4.0060375066607232</v>
      </c>
      <c r="FY108" s="19">
        <v>-3.6292605348754821</v>
      </c>
      <c r="FZ108" s="19">
        <v>-3.9531066719916619</v>
      </c>
      <c r="GA108" s="2">
        <v>3.9696753013434742</v>
      </c>
      <c r="GB108" s="19">
        <v>5.3664312527181099</v>
      </c>
      <c r="GC108" s="19">
        <v>-2.511815454316312</v>
      </c>
      <c r="GD108" s="19">
        <v>-4.7416864206758786</v>
      </c>
      <c r="GE108" s="19">
        <v>7.6009220397119673E-2</v>
      </c>
      <c r="GF108" s="19">
        <v>242.08855119128944</v>
      </c>
      <c r="GG108" s="19">
        <v>8.6797030838590156E-3</v>
      </c>
      <c r="GH108" s="2">
        <v>242.0972308943733</v>
      </c>
      <c r="GI108" s="2">
        <v>5.3658929348771292</v>
      </c>
      <c r="GJ108" s="2">
        <v>0.8115548217292069</v>
      </c>
      <c r="GK108" s="19">
        <v>8.0211445593767161E-5</v>
      </c>
      <c r="GL108" s="19">
        <v>-2.5110904716038678</v>
      </c>
      <c r="GM108" s="19">
        <v>-4.7420703950895273</v>
      </c>
      <c r="GN108" s="19">
        <v>7.6009220397119673E-2</v>
      </c>
      <c r="GO108" s="13">
        <v>-0.76026194136612091</v>
      </c>
      <c r="GP108" s="13">
        <v>-0.6376516834574163</v>
      </c>
      <c r="GQ108" s="13">
        <v>-3.2713524129699887</v>
      </c>
      <c r="GR108" s="2">
        <v>-5.3797220785469433</v>
      </c>
      <c r="GS108" s="2">
        <v>7.6009220397119673E-2</v>
      </c>
      <c r="GT108" s="2">
        <v>-3.2713524129699887</v>
      </c>
      <c r="GU108" s="19">
        <v>-4.9661214825973996</v>
      </c>
      <c r="GV108" s="2">
        <v>-2.0699817545271806</v>
      </c>
      <c r="GW108" s="23">
        <v>236.62575043294038</v>
      </c>
      <c r="GX108" s="2">
        <v>5.9467730064094395</v>
      </c>
      <c r="GY108" s="23">
        <v>-19.192234297392346</v>
      </c>
      <c r="GZ108" s="2">
        <v>333.18632614730467</v>
      </c>
      <c r="HA108" s="19">
        <v>1.986670820545249</v>
      </c>
      <c r="HB108" s="19">
        <v>4.3421280494948554E-2</v>
      </c>
      <c r="HC108" s="19">
        <v>5.927116051508845</v>
      </c>
      <c r="HD108" s="19">
        <v>9.5547500000000003</v>
      </c>
      <c r="HE108" s="19">
        <v>5.5480632944701111E-2</v>
      </c>
      <c r="HF108" s="2">
        <v>3.2657266420853421</v>
      </c>
      <c r="HG108" s="19">
        <v>3.259235467312033</v>
      </c>
      <c r="HH108" s="19">
        <v>-10.018811732111736</v>
      </c>
      <c r="HI108" s="19">
        <v>-1.1197293877253263</v>
      </c>
      <c r="HJ108" s="2">
        <v>3.2528934651940098</v>
      </c>
      <c r="HK108" s="19">
        <v>10.081189534238284</v>
      </c>
      <c r="HL108" s="19">
        <v>1.7186542287210431</v>
      </c>
      <c r="HM108" s="19">
        <v>-9.9330440768709245</v>
      </c>
      <c r="HN108" s="19">
        <v>0.10604449195613078</v>
      </c>
      <c r="HO108" s="19">
        <v>-80.183567675640063</v>
      </c>
      <c r="HP108" s="19">
        <v>-0.13093028708326665</v>
      </c>
      <c r="HQ108" s="2">
        <v>-80.314497962723323</v>
      </c>
      <c r="HR108" s="2">
        <v>10.080631775387953</v>
      </c>
      <c r="HS108" s="2">
        <v>0.60270803011082308</v>
      </c>
      <c r="HT108" s="2">
        <v>-2.2779363459204446E-3</v>
      </c>
      <c r="HU108" s="2">
        <v>0.60043009376490264</v>
      </c>
      <c r="HV108" s="19">
        <v>8.0211445593767161E-5</v>
      </c>
      <c r="HW108" s="19">
        <v>1.6959657396281991</v>
      </c>
      <c r="HX108" s="19">
        <v>-9.9369473200532656</v>
      </c>
      <c r="HY108" s="19">
        <v>0.10564371126160045</v>
      </c>
      <c r="HZ108" s="13">
        <v>-0.76026194136612091</v>
      </c>
      <c r="IA108" s="13">
        <v>-0.6376516834574163</v>
      </c>
      <c r="IB108" s="13">
        <v>0.93570379826207817</v>
      </c>
      <c r="IC108" s="2">
        <v>-10.574599003510682</v>
      </c>
      <c r="ID108" s="2">
        <v>0.10564371126160045</v>
      </c>
      <c r="IE108" s="2">
        <v>0.93570379826207817</v>
      </c>
      <c r="IF108" s="19">
        <v>-9.7442027240698064</v>
      </c>
      <c r="IG108" s="2">
        <v>-4.1089923279325795</v>
      </c>
      <c r="IH108" s="23">
        <v>-84.514892761640823</v>
      </c>
      <c r="II108" s="2">
        <v>9.7890259130238046</v>
      </c>
      <c r="IJ108" s="23">
        <v>-22.770470909631957</v>
      </c>
      <c r="IK108" s="2">
        <v>294.32696934188584</v>
      </c>
    </row>
    <row r="109" spans="1:245" ht="15" hidden="1">
      <c r="A109" s="85"/>
      <c r="B109" s="205" t="s">
        <v>160</v>
      </c>
      <c r="C109" s="85">
        <v>9.4599999999999991</v>
      </c>
      <c r="D109" s="85">
        <v>-8.6583333333333332</v>
      </c>
      <c r="E109" s="206">
        <v>217.86115402200261</v>
      </c>
      <c r="F109" s="206">
        <v>-8.7408927346743397</v>
      </c>
      <c r="G109" s="206">
        <v>4.3466670024588936</v>
      </c>
      <c r="H109" s="206">
        <v>-8.3684065664796563</v>
      </c>
      <c r="I109" s="85">
        <v>217.86151056408855</v>
      </c>
      <c r="J109" s="85">
        <v>-8.7416527667868156</v>
      </c>
      <c r="K109" s="85">
        <v>6879.9670299618629</v>
      </c>
      <c r="L109" s="206">
        <v>150.18721211515367</v>
      </c>
      <c r="M109" s="85">
        <v>0.18836323148423992</v>
      </c>
      <c r="N109" s="201">
        <v>120.7243637471947</v>
      </c>
      <c r="O109" s="201">
        <v>221.68783544823418</v>
      </c>
      <c r="P109" s="201">
        <v>151.48983124160441</v>
      </c>
      <c r="Q109" s="201">
        <v>23.436848667747224</v>
      </c>
      <c r="R109" s="201">
        <v>-13.483012989619512</v>
      </c>
      <c r="S109" s="201">
        <v>-4.5371544611204113</v>
      </c>
      <c r="T109" s="201">
        <v>18.899694206626812</v>
      </c>
      <c r="U109" s="15">
        <v>-3.5433623587062995E-3</v>
      </c>
      <c r="V109" s="15">
        <v>209.81633124720503</v>
      </c>
      <c r="W109" s="15">
        <v>221.68261516763232</v>
      </c>
      <c r="X109" s="15">
        <v>298.42538836272797</v>
      </c>
      <c r="Y109" s="15">
        <v>-1.7008682425293162</v>
      </c>
      <c r="Z109" s="15">
        <v>219.98174692510301</v>
      </c>
      <c r="AA109" s="15">
        <v>4.1109403113915546</v>
      </c>
      <c r="AB109" s="15">
        <v>23.436848667747224</v>
      </c>
      <c r="AC109" s="15">
        <v>-14.807007867075395</v>
      </c>
      <c r="AD109" s="15">
        <v>-0.58953306097810487</v>
      </c>
      <c r="AE109" s="15">
        <v>-0.76624918111208906</v>
      </c>
      <c r="AF109" s="15">
        <v>217.57378799973046</v>
      </c>
      <c r="AG109" s="15">
        <v>29.81278788484633</v>
      </c>
      <c r="AH109" s="15">
        <v>352.23899988511585</v>
      </c>
      <c r="AI109" s="15">
        <v>0</v>
      </c>
      <c r="AJ109" s="21">
        <v>0</v>
      </c>
      <c r="AK109" s="21">
        <v>4.9438976967386905</v>
      </c>
      <c r="AL109" s="15">
        <v>1</v>
      </c>
      <c r="AM109" s="21">
        <v>1.6701079431448516E-2</v>
      </c>
      <c r="AN109" s="21">
        <v>5.2084583912764444</v>
      </c>
      <c r="AO109" s="21">
        <v>5.1936536984601895</v>
      </c>
      <c r="AP109" s="21">
        <v>0.40905016621592344</v>
      </c>
      <c r="AQ109" s="21">
        <v>0.44619952501212151</v>
      </c>
      <c r="AR109" s="21">
        <v>-0.88628656301516351</v>
      </c>
      <c r="AS109" s="15">
        <v>5.1787914780140385</v>
      </c>
      <c r="AT109" s="21">
        <v>0.99226906023632233</v>
      </c>
      <c r="AU109" s="22">
        <v>10.122689174752729</v>
      </c>
      <c r="AV109" s="21">
        <v>-0.76026281171105814</v>
      </c>
      <c r="AW109" s="15">
        <v>-0.63765064497063784</v>
      </c>
      <c r="AX109" s="21">
        <v>-0.76026281171105814</v>
      </c>
      <c r="AY109" s="15">
        <v>-0.58504384292149725</v>
      </c>
      <c r="AZ109" s="15">
        <v>-0.253617915161995</v>
      </c>
      <c r="BA109" s="15">
        <v>37.579304919217073</v>
      </c>
      <c r="BB109" s="15">
        <v>0.9593100859530026</v>
      </c>
      <c r="BC109" s="15">
        <v>-14.808779129639156</v>
      </c>
      <c r="BD109" s="19">
        <v>-4.1761729740100115</v>
      </c>
      <c r="BE109" s="2">
        <v>8.9804171332116239E-2</v>
      </c>
      <c r="BF109" s="19">
        <v>25.291267644057399</v>
      </c>
      <c r="BG109" s="2">
        <v>60.266599999999997</v>
      </c>
      <c r="BH109" s="19">
        <v>5.4899999999999997E-2</v>
      </c>
      <c r="BI109" s="19">
        <v>0.37845088219013689</v>
      </c>
      <c r="BJ109" s="19">
        <v>0.39977023060334438</v>
      </c>
      <c r="BK109" s="19">
        <v>52.205969135317225</v>
      </c>
      <c r="BL109" s="19">
        <v>23.420789297787543</v>
      </c>
      <c r="BM109" s="2">
        <v>0.42170807530789606</v>
      </c>
      <c r="BN109" s="19">
        <v>57.218848159405077</v>
      </c>
      <c r="BO109" s="19">
        <v>-51.305235798439881</v>
      </c>
      <c r="BP109" s="19">
        <v>25.17647811461779</v>
      </c>
      <c r="BQ109" s="19">
        <v>2.8132390761731338</v>
      </c>
      <c r="BR109" s="2">
        <v>153.86191409901517</v>
      </c>
      <c r="BS109" s="2">
        <v>57.14964803556839</v>
      </c>
      <c r="BT109" s="2">
        <v>2.8181576853787313</v>
      </c>
      <c r="BU109" s="2">
        <v>10.152356088015136</v>
      </c>
      <c r="BV109" s="2">
        <v>21.493545552237524</v>
      </c>
      <c r="BW109" s="2">
        <v>11.341189464222388</v>
      </c>
      <c r="BX109" s="19">
        <v>25.669718526247536</v>
      </c>
      <c r="BY109" s="2">
        <v>-0.3920154544410871</v>
      </c>
      <c r="BZ109" s="19">
        <v>-0.8114809827216336</v>
      </c>
      <c r="CA109" s="19">
        <v>-0.6479013850142763</v>
      </c>
      <c r="CB109" s="19">
        <v>-0.64402955619053903</v>
      </c>
      <c r="CC109" s="19">
        <v>-0.70007477044733868</v>
      </c>
      <c r="CD109" s="19">
        <v>-0.74655828334450069</v>
      </c>
      <c r="CE109" s="19">
        <v>-0.79168504103754955</v>
      </c>
      <c r="CF109" s="19">
        <v>-0.75096831366763861</v>
      </c>
      <c r="CG109" s="19">
        <v>-0.71803796083300908</v>
      </c>
      <c r="CH109" s="19">
        <v>-0.69815564644295003</v>
      </c>
      <c r="CI109" s="19">
        <v>-0.69255391149008894</v>
      </c>
      <c r="CJ109" s="19">
        <v>-0.70183384953688654</v>
      </c>
      <c r="CK109" s="2">
        <v>2.6731476829721341</v>
      </c>
      <c r="CL109" s="19">
        <v>-2.6580077556089467E-2</v>
      </c>
      <c r="CM109" s="19">
        <v>-6.7891669544260069E-2</v>
      </c>
      <c r="CN109" s="19">
        <v>-5.7664750072712434E-2</v>
      </c>
      <c r="CO109" s="19">
        <v>-8.8747061255666532E-2</v>
      </c>
      <c r="CP109" s="19">
        <v>-7.2394713627631072E-2</v>
      </c>
      <c r="CQ109" s="2">
        <v>4.7922604336400748E-2</v>
      </c>
      <c r="CR109" s="19">
        <v>57.7707077140115</v>
      </c>
      <c r="CS109" s="19">
        <v>58.125120356287532</v>
      </c>
      <c r="CT109" s="19">
        <v>-51.803843378978726</v>
      </c>
      <c r="CU109" s="19">
        <v>26.213323243649977</v>
      </c>
      <c r="CV109" s="19">
        <v>2.7844410791167102</v>
      </c>
      <c r="CW109" s="15">
        <v>-51.803843378978726</v>
      </c>
      <c r="CX109" s="15">
        <v>22.943220304442814</v>
      </c>
      <c r="CY109" s="21">
        <v>12.980757668986652</v>
      </c>
      <c r="CZ109" s="15">
        <v>156.11209623143645</v>
      </c>
      <c r="DA109" s="15">
        <v>56.657122648189208</v>
      </c>
      <c r="DB109" s="15">
        <v>12.904366439847056</v>
      </c>
      <c r="DC109" s="15">
        <v>53.700691653409876</v>
      </c>
      <c r="DD109" s="15">
        <v>0.8674749713958696</v>
      </c>
      <c r="DE109" s="15">
        <v>3.2281217318363795E-2</v>
      </c>
      <c r="DF109" s="15">
        <v>5.0039148185564635</v>
      </c>
      <c r="DG109" s="15">
        <v>1.5236879999999999</v>
      </c>
      <c r="DH109" s="15">
        <v>9.3422313771047386E-2</v>
      </c>
      <c r="DI109" s="15">
        <v>0.42994086819756916</v>
      </c>
      <c r="DJ109" s="21">
        <v>0.47218766711019622</v>
      </c>
      <c r="DK109" s="21">
        <v>1.2146125780626336</v>
      </c>
      <c r="DL109" s="21">
        <v>0.68999672276572643</v>
      </c>
      <c r="DM109" s="15">
        <v>0.51661792235068005</v>
      </c>
      <c r="DN109" s="21">
        <v>1.396917747118777</v>
      </c>
      <c r="DO109" s="21">
        <v>1.3888668169832834</v>
      </c>
      <c r="DP109" s="21">
        <v>0.14648545053824011</v>
      </c>
      <c r="DQ109" s="21">
        <v>-3.1147546913538375E-2</v>
      </c>
      <c r="DR109" s="15">
        <v>6.0208752475314782</v>
      </c>
      <c r="DS109" s="15">
        <v>1.3965704502590153</v>
      </c>
      <c r="DT109" s="15">
        <v>-1.2776492347670527</v>
      </c>
      <c r="DU109" s="21">
        <v>8.0211370244895772E-5</v>
      </c>
      <c r="DV109" s="21">
        <v>1.3888666119092485</v>
      </c>
      <c r="DW109" s="21">
        <v>0.14648739488568069</v>
      </c>
      <c r="DX109" s="21">
        <v>-3.1147546913538375E-2</v>
      </c>
      <c r="DY109" s="10">
        <v>-0.76026191902969376</v>
      </c>
      <c r="DZ109" s="10">
        <v>-0.63765170930184267</v>
      </c>
      <c r="EA109" s="10">
        <v>0.62860469287955478</v>
      </c>
      <c r="EB109" s="15">
        <v>-0.49116431441616198</v>
      </c>
      <c r="EC109" s="15">
        <v>-3.1147546913538375E-2</v>
      </c>
      <c r="ED109" s="15">
        <v>0.62860469287955478</v>
      </c>
      <c r="EE109" s="21">
        <v>-0.43825421172786616</v>
      </c>
      <c r="EF109" s="15">
        <v>-0.22393257765992011</v>
      </c>
      <c r="EG109" s="15">
        <v>-34.883657793981634</v>
      </c>
      <c r="EH109" s="15">
        <v>0.76629668797888761</v>
      </c>
      <c r="EI109" s="15">
        <v>-16.289787658438684</v>
      </c>
      <c r="EJ109" s="15">
        <v>244.69644567882796</v>
      </c>
      <c r="EK109" s="19">
        <v>1.3412783759743561</v>
      </c>
      <c r="EL109" s="19">
        <v>5.9250249655268122E-2</v>
      </c>
      <c r="EM109" s="19">
        <v>0.9596906103585765</v>
      </c>
      <c r="EN109" s="19">
        <v>0.72333000000000003</v>
      </c>
      <c r="EO109" s="2">
        <v>6.7640403299269901E-3</v>
      </c>
      <c r="EP109" s="19">
        <v>4.7649498660135094</v>
      </c>
      <c r="EQ109" s="19">
        <v>4.7581927665078476</v>
      </c>
      <c r="ER109" s="19">
        <v>2.8227035717892767E-2</v>
      </c>
      <c r="ES109" s="19">
        <v>-0.72255483442460022</v>
      </c>
      <c r="ET109" s="2">
        <v>4.7514347222698472</v>
      </c>
      <c r="EU109" s="19">
        <v>0.72310597722310432</v>
      </c>
      <c r="EV109" s="19">
        <v>0.51884985757088609</v>
      </c>
      <c r="EW109" s="19">
        <v>0.50312993383290183</v>
      </c>
      <c r="EX109" s="19">
        <v>-2.3180795408088907E-2</v>
      </c>
      <c r="EY109" s="2">
        <v>44.118835525498604</v>
      </c>
      <c r="EZ109" s="2">
        <v>0.72273432533679272</v>
      </c>
      <c r="FA109" s="2">
        <v>-1.8370603681869968</v>
      </c>
      <c r="FB109" s="19">
        <v>8.0211370244895772E-5</v>
      </c>
      <c r="FC109" s="19">
        <v>0.51884915321236469</v>
      </c>
      <c r="FD109" s="19">
        <v>0.50313066019756847</v>
      </c>
      <c r="FE109" s="19">
        <v>-2.3180795408088907E-2</v>
      </c>
      <c r="FF109" s="13">
        <v>-0.76026191902969376</v>
      </c>
      <c r="FG109" s="13">
        <v>-0.63765170930184267</v>
      </c>
      <c r="FH109" s="13">
        <v>-0.24141276581732907</v>
      </c>
      <c r="FI109" s="2">
        <v>-0.1345210491042742</v>
      </c>
      <c r="FJ109" s="2">
        <v>-2.3180795408088907E-2</v>
      </c>
      <c r="FK109" s="2">
        <v>-0.24141276581732907</v>
      </c>
      <c r="FL109" s="19">
        <v>-0.11420304621068798</v>
      </c>
      <c r="FM109" s="2">
        <v>-7.4772496040092784E-2</v>
      </c>
      <c r="FN109" s="23">
        <v>205.31702109379364</v>
      </c>
      <c r="FO109" s="2">
        <v>0.26706265044624472</v>
      </c>
      <c r="FP109" s="23">
        <v>-15.641242566861438</v>
      </c>
      <c r="FQ109" s="2">
        <v>4.4957667910526879</v>
      </c>
      <c r="FR109" s="19">
        <v>1.7565816718547504</v>
      </c>
      <c r="FS109" s="19">
        <v>2.2722939920664941E-2</v>
      </c>
      <c r="FT109" s="19">
        <v>4.7820433878697148</v>
      </c>
      <c r="FU109" s="19">
        <v>5.2025600000000001</v>
      </c>
      <c r="FV109" s="19">
        <v>4.8528753276156897E-2</v>
      </c>
      <c r="FW109" s="19">
        <v>4.0429461869830376</v>
      </c>
      <c r="FX109" s="19">
        <v>4.006037509430497</v>
      </c>
      <c r="FY109" s="19">
        <v>-3.6292605239134006</v>
      </c>
      <c r="FZ109" s="19">
        <v>-3.9531066813335753</v>
      </c>
      <c r="GA109" s="2">
        <v>3.9696753040254986</v>
      </c>
      <c r="GB109" s="19">
        <v>5.3664312521861603</v>
      </c>
      <c r="GC109" s="19">
        <v>-2.5118154413452412</v>
      </c>
      <c r="GD109" s="19">
        <v>-4.7416864269492329</v>
      </c>
      <c r="GE109" s="19">
        <v>7.6009220133809827E-2</v>
      </c>
      <c r="GF109" s="19">
        <v>242.08855134496085</v>
      </c>
      <c r="GG109" s="19">
        <v>8.6797030998405234E-3</v>
      </c>
      <c r="GH109" s="2">
        <v>242.09723104806068</v>
      </c>
      <c r="GI109" s="2">
        <v>5.3658929343488557</v>
      </c>
      <c r="GJ109" s="2">
        <v>0.81155481899809556</v>
      </c>
      <c r="GK109" s="19">
        <v>8.0211370244895772E-5</v>
      </c>
      <c r="GL109" s="19">
        <v>-2.511090458636752</v>
      </c>
      <c r="GM109" s="19">
        <v>-4.7420704013582968</v>
      </c>
      <c r="GN109" s="19">
        <v>7.6009220133809827E-2</v>
      </c>
      <c r="GO109" s="13">
        <v>-0.76026191902969376</v>
      </c>
      <c r="GP109" s="13">
        <v>-0.63765170930184267</v>
      </c>
      <c r="GQ109" s="13">
        <v>-3.2713523776664459</v>
      </c>
      <c r="GR109" s="2">
        <v>-5.3797221106601398</v>
      </c>
      <c r="GS109" s="2">
        <v>7.6009220133809827E-2</v>
      </c>
      <c r="GT109" s="2">
        <v>-3.2713523776664459</v>
      </c>
      <c r="GU109" s="19">
        <v>-4.9661215119565227</v>
      </c>
      <c r="GV109" s="2">
        <v>-2.0699817675413463</v>
      </c>
      <c r="GW109" s="23">
        <v>236.62575087259827</v>
      </c>
      <c r="GX109" s="2">
        <v>5.946773011506429</v>
      </c>
      <c r="GY109" s="23">
        <v>-19.192234393983657</v>
      </c>
      <c r="GZ109" s="2">
        <v>333.18703701224808</v>
      </c>
      <c r="HA109" s="19">
        <v>1.986670820546071</v>
      </c>
      <c r="HB109" s="19">
        <v>4.3421280494944835E-2</v>
      </c>
      <c r="HC109" s="19">
        <v>5.9271160515098691</v>
      </c>
      <c r="HD109" s="19">
        <v>9.5547500000000003</v>
      </c>
      <c r="HE109" s="19">
        <v>5.548063294468239E-2</v>
      </c>
      <c r="HF109" s="2">
        <v>3.265726643235519</v>
      </c>
      <c r="HG109" s="19">
        <v>3.2592354684023221</v>
      </c>
      <c r="HH109" s="19">
        <v>-10.018811730888846</v>
      </c>
      <c r="HI109" s="19">
        <v>-1.1197293980548291</v>
      </c>
      <c r="HJ109" s="2">
        <v>3.2528934662257742</v>
      </c>
      <c r="HK109" s="19">
        <v>10.081189534170271</v>
      </c>
      <c r="HL109" s="19">
        <v>1.7186542389685939</v>
      </c>
      <c r="HM109" s="19">
        <v>-9.9330440750335143</v>
      </c>
      <c r="HN109" s="19">
        <v>0.10604449151692859</v>
      </c>
      <c r="HO109" s="19">
        <v>-80.183567616543158</v>
      </c>
      <c r="HP109" s="19">
        <v>-0.13093028692269545</v>
      </c>
      <c r="HQ109" s="2">
        <v>-80.314497903465849</v>
      </c>
      <c r="HR109" s="2">
        <v>10.080631775324557</v>
      </c>
      <c r="HS109" s="2">
        <v>0.60270802761857445</v>
      </c>
      <c r="HT109" s="2">
        <v>-2.2779363455481217E-3</v>
      </c>
      <c r="HU109" s="2">
        <v>0.60043009127302638</v>
      </c>
      <c r="HV109" s="19">
        <v>8.0211370244895772E-5</v>
      </c>
      <c r="HW109" s="19">
        <v>1.6959657498946967</v>
      </c>
      <c r="HX109" s="19">
        <v>-9.9369473182367223</v>
      </c>
      <c r="HY109" s="19">
        <v>0.10564371082246631</v>
      </c>
      <c r="HZ109" s="13">
        <v>-0.76026191902969376</v>
      </c>
      <c r="IA109" s="13">
        <v>-0.63765170930184267</v>
      </c>
      <c r="IB109" s="13">
        <v>0.93570383086500297</v>
      </c>
      <c r="IC109" s="2">
        <v>-10.574599027538564</v>
      </c>
      <c r="ID109" s="2">
        <v>0.10564371082246631</v>
      </c>
      <c r="IE109" s="2">
        <v>0.93570383086500297</v>
      </c>
      <c r="IF109" s="19">
        <v>-9.7442027459407541</v>
      </c>
      <c r="IG109" s="2">
        <v>-4.1089923378921682</v>
      </c>
      <c r="IH109" s="23">
        <v>-84.514892583923938</v>
      </c>
      <c r="II109" s="2">
        <v>9.7890259379110223</v>
      </c>
      <c r="IJ109" s="23">
        <v>-22.770470907208786</v>
      </c>
      <c r="IK109" s="2">
        <v>294.32768046877027</v>
      </c>
    </row>
    <row r="110" spans="1:245" ht="15" hidden="1">
      <c r="A110" s="85"/>
      <c r="B110" s="205" t="s">
        <v>161</v>
      </c>
      <c r="C110" s="85">
        <v>15.577500000000001</v>
      </c>
      <c r="D110" s="85">
        <v>26.715</v>
      </c>
      <c r="E110" s="206">
        <v>126.08184926932921</v>
      </c>
      <c r="F110" s="206">
        <v>26.652835030686148</v>
      </c>
      <c r="G110" s="206">
        <v>4.3466670024588936</v>
      </c>
      <c r="H110" s="206">
        <v>-8.3684065664796563</v>
      </c>
      <c r="I110" s="85">
        <v>126.08183658384465</v>
      </c>
      <c r="J110" s="85">
        <v>26.651926189216045</v>
      </c>
      <c r="K110" s="85">
        <v>6880.200168873328</v>
      </c>
      <c r="L110" s="206">
        <v>66.027411233633757</v>
      </c>
      <c r="M110" s="85">
        <v>0.18836961447976258</v>
      </c>
      <c r="N110" s="201">
        <v>120.7120181641005</v>
      </c>
      <c r="O110" s="201">
        <v>221.91762820067925</v>
      </c>
      <c r="P110" s="201">
        <v>154.56176197313471</v>
      </c>
      <c r="Q110" s="201">
        <v>23.436848584679829</v>
      </c>
      <c r="R110" s="201">
        <v>-13.469262579526456</v>
      </c>
      <c r="S110" s="201">
        <v>-4.5312945696552296</v>
      </c>
      <c r="T110" s="201">
        <v>18.905554015024599</v>
      </c>
      <c r="U110" s="15">
        <v>-3.5396247601724756E-3</v>
      </c>
      <c r="V110" s="15">
        <v>293.97612839112639</v>
      </c>
      <c r="W110" s="15">
        <v>221.91240792955705</v>
      </c>
      <c r="X110" s="15">
        <v>298.65517013769841</v>
      </c>
      <c r="Y110" s="15">
        <v>-1.6972860979276601</v>
      </c>
      <c r="Z110" s="15">
        <v>220.21512183162938</v>
      </c>
      <c r="AA110" s="15">
        <v>4.1115919838574637</v>
      </c>
      <c r="AB110" s="15">
        <v>23.436848584679829</v>
      </c>
      <c r="AC110" s="15">
        <v>-14.880462315084793</v>
      </c>
      <c r="AD110" s="15">
        <v>-0.59239172880314839</v>
      </c>
      <c r="AE110" s="15">
        <v>-0.76362564912994157</v>
      </c>
      <c r="AF110" s="15">
        <v>217.80294920435631</v>
      </c>
      <c r="AG110" s="15">
        <v>113.97258876636624</v>
      </c>
      <c r="AH110" s="15">
        <v>76.169639562009934</v>
      </c>
      <c r="AI110" s="15">
        <v>0</v>
      </c>
      <c r="AJ110" s="21">
        <v>0</v>
      </c>
      <c r="AK110" s="21">
        <v>4.943897888364102</v>
      </c>
      <c r="AL110" s="15">
        <v>1</v>
      </c>
      <c r="AM110" s="21">
        <v>1.6701079163105627E-2</v>
      </c>
      <c r="AN110" s="21">
        <v>5.2124688397485599</v>
      </c>
      <c r="AO110" s="21">
        <v>5.197695537264214</v>
      </c>
      <c r="AP110" s="21">
        <v>0.40905016476612394</v>
      </c>
      <c r="AQ110" s="21">
        <v>0.44977846156665174</v>
      </c>
      <c r="AR110" s="21">
        <v>-0.88440862005337906</v>
      </c>
      <c r="AS110" s="15">
        <v>5.1828643623189761</v>
      </c>
      <c r="AT110" s="21">
        <v>0.99220928826230315</v>
      </c>
      <c r="AU110" s="22">
        <v>10.126762250683079</v>
      </c>
      <c r="AV110" s="21">
        <v>-0.75761367341691799</v>
      </c>
      <c r="AW110" s="15">
        <v>-0.64070335847856275</v>
      </c>
      <c r="AX110" s="21">
        <v>-0.75761367341691799</v>
      </c>
      <c r="AY110" s="15">
        <v>-0.58784470494788232</v>
      </c>
      <c r="AZ110" s="15">
        <v>-0.25483209458474176</v>
      </c>
      <c r="BA110" s="15">
        <v>37.808465114084029</v>
      </c>
      <c r="BB110" s="15">
        <v>0.95892641807572454</v>
      </c>
      <c r="BC110" s="15">
        <v>-14.882226586838531</v>
      </c>
      <c r="BD110" s="19">
        <v>-4.1763884452598994</v>
      </c>
      <c r="BE110" s="2">
        <v>8.9804171332116239E-2</v>
      </c>
      <c r="BF110" s="19">
        <v>25.291936420842319</v>
      </c>
      <c r="BG110" s="2">
        <v>60.266599999999997</v>
      </c>
      <c r="BH110" s="19">
        <v>5.4899999999999997E-2</v>
      </c>
      <c r="BI110" s="19">
        <v>0.43161288226691852</v>
      </c>
      <c r="BJ110" s="19">
        <v>0.45572478416390039</v>
      </c>
      <c r="BK110" s="19">
        <v>50.807291687859745</v>
      </c>
      <c r="BL110" s="19">
        <v>26.48412665293591</v>
      </c>
      <c r="BM110" s="2">
        <v>0.48051551238250895</v>
      </c>
      <c r="BN110" s="19">
        <v>57.2956355512705</v>
      </c>
      <c r="BO110" s="19">
        <v>-52.763299058712576</v>
      </c>
      <c r="BP110" s="19">
        <v>22.122718823803421</v>
      </c>
      <c r="BQ110" s="19">
        <v>3.0674806450580729</v>
      </c>
      <c r="BR110" s="2">
        <v>157.25255699641866</v>
      </c>
      <c r="BS110" s="2">
        <v>57.213463587832244</v>
      </c>
      <c r="BT110" s="2">
        <v>3.0689556325074685</v>
      </c>
      <c r="BU110" s="2">
        <v>10.156366728112662</v>
      </c>
      <c r="BV110" s="2">
        <v>21.547160857849338</v>
      </c>
      <c r="BW110" s="2">
        <v>11.390794129736676</v>
      </c>
      <c r="BX110" s="19">
        <v>25.723549303109237</v>
      </c>
      <c r="BY110" s="2">
        <v>-0.4473982225784463</v>
      </c>
      <c r="BZ110" s="19">
        <v>-0.9150142617483672</v>
      </c>
      <c r="CA110" s="19">
        <v>-0.75179102706830025</v>
      </c>
      <c r="CB110" s="19">
        <v>-0.74750043913577457</v>
      </c>
      <c r="CC110" s="19">
        <v>-0.80393273984654734</v>
      </c>
      <c r="CD110" s="19">
        <v>-0.85374228471584057</v>
      </c>
      <c r="CE110" s="19">
        <v>-0.89781676706928859</v>
      </c>
      <c r="CF110" s="19">
        <v>-0.8569128279374304</v>
      </c>
      <c r="CG110" s="19">
        <v>-0.82461090986274066</v>
      </c>
      <c r="CH110" s="19">
        <v>-0.80612014794234588</v>
      </c>
      <c r="CI110" s="19">
        <v>-0.80040100382656887</v>
      </c>
      <c r="CJ110" s="19">
        <v>-0.81043810852672549</v>
      </c>
      <c r="CK110" s="2">
        <v>2.730430063390124</v>
      </c>
      <c r="CL110" s="19">
        <v>-3.4307330805256289E-2</v>
      </c>
      <c r="CM110" s="19">
        <v>-7.9033499346711278E-2</v>
      </c>
      <c r="CN110" s="19">
        <v>-6.8457815384675602E-2</v>
      </c>
      <c r="CO110" s="19">
        <v>-0.10086676532035085</v>
      </c>
      <c r="CP110" s="19">
        <v>-8.3982518288896801E-2</v>
      </c>
      <c r="CQ110" s="2">
        <v>5.2097608926622838E-2</v>
      </c>
      <c r="CR110" s="19">
        <v>57.83869504207285</v>
      </c>
      <c r="CS110" s="19">
        <v>58.162320183623585</v>
      </c>
      <c r="CT110" s="19">
        <v>-53.242549135130751</v>
      </c>
      <c r="CU110" s="19">
        <v>23.214502806923949</v>
      </c>
      <c r="CV110" s="19">
        <v>3.0287472926697494</v>
      </c>
      <c r="CW110" s="15">
        <v>-53.242549135130751</v>
      </c>
      <c r="CX110" s="15">
        <v>20.094635631475111</v>
      </c>
      <c r="CY110" s="21">
        <v>12.012163401060823</v>
      </c>
      <c r="CZ110" s="15">
        <v>159.32264791795942</v>
      </c>
      <c r="DA110" s="15">
        <v>56.908377411138346</v>
      </c>
      <c r="DB110" s="15">
        <v>11.918977201528772</v>
      </c>
      <c r="DC110" s="15">
        <v>134.64994084840683</v>
      </c>
      <c r="DD110" s="15">
        <v>0.86747505728560703</v>
      </c>
      <c r="DE110" s="15">
        <v>3.228121724593485E-2</v>
      </c>
      <c r="DF110" s="15">
        <v>5.0039149377635139</v>
      </c>
      <c r="DG110" s="15">
        <v>1.5236879999999999</v>
      </c>
      <c r="DH110" s="15">
        <v>9.342231435762488E-2</v>
      </c>
      <c r="DI110" s="15">
        <v>0.43207313054708152</v>
      </c>
      <c r="DJ110" s="21">
        <v>0.47451302607570606</v>
      </c>
      <c r="DK110" s="21">
        <v>1.212997371873848</v>
      </c>
      <c r="DL110" s="21">
        <v>0.69313647126283073</v>
      </c>
      <c r="DM110" s="15">
        <v>0.51914307890474276</v>
      </c>
      <c r="DN110" s="21">
        <v>1.3970686425396397</v>
      </c>
      <c r="DO110" s="21">
        <v>1.3886442800645975</v>
      </c>
      <c r="DP110" s="21">
        <v>0.15000868191012123</v>
      </c>
      <c r="DQ110" s="21">
        <v>-3.1068485045380189E-2</v>
      </c>
      <c r="DR110" s="15">
        <v>6.1655552580634749</v>
      </c>
      <c r="DS110" s="15">
        <v>1.3967231440785022</v>
      </c>
      <c r="DT110" s="15">
        <v>-1.2742679706059521</v>
      </c>
      <c r="DU110" s="21">
        <v>7.1296278153814329E-5</v>
      </c>
      <c r="DV110" s="21">
        <v>1.3886440933994995</v>
      </c>
      <c r="DW110" s="21">
        <v>0.150010409876178</v>
      </c>
      <c r="DX110" s="21">
        <v>-3.1068485045380189E-2</v>
      </c>
      <c r="DY110" s="10">
        <v>-0.75761287615403272</v>
      </c>
      <c r="DZ110" s="10">
        <v>-0.64070430121827682</v>
      </c>
      <c r="EA110" s="10">
        <v>0.63103121724546674</v>
      </c>
      <c r="EB110" s="15">
        <v>-0.49069389134209884</v>
      </c>
      <c r="EC110" s="15">
        <v>-3.1068485045380189E-2</v>
      </c>
      <c r="ED110" s="15">
        <v>0.63103121724546674</v>
      </c>
      <c r="EE110" s="21">
        <v>-0.43785404525651062</v>
      </c>
      <c r="EF110" s="15">
        <v>-0.22367293268515087</v>
      </c>
      <c r="EG110" s="15">
        <v>-34.755645923550126</v>
      </c>
      <c r="EH110" s="15">
        <v>0.7680602594105399</v>
      </c>
      <c r="EI110" s="15">
        <v>-16.236507804973893</v>
      </c>
      <c r="EJ110" s="15">
        <v>328.72823468991635</v>
      </c>
      <c r="EK110" s="19">
        <v>1.3412784763128531</v>
      </c>
      <c r="EL110" s="19">
        <v>5.9250249767166766E-2</v>
      </c>
      <c r="EM110" s="19">
        <v>0.95969066666353298</v>
      </c>
      <c r="EN110" s="19">
        <v>0.72333000000000003</v>
      </c>
      <c r="EO110" s="2">
        <v>6.7640400263801271E-3</v>
      </c>
      <c r="EP110" s="19">
        <v>4.7714690005765732</v>
      </c>
      <c r="EQ110" s="19">
        <v>4.7647140651269657</v>
      </c>
      <c r="ER110" s="19">
        <v>3.2938401935369774E-2</v>
      </c>
      <c r="ES110" s="19">
        <v>-0.72232349353450154</v>
      </c>
      <c r="ET110" s="2">
        <v>4.7579580360541716</v>
      </c>
      <c r="EU110" s="19">
        <v>0.72307410936496896</v>
      </c>
      <c r="EV110" s="19">
        <v>0.51554176282208375</v>
      </c>
      <c r="EW110" s="19">
        <v>0.50648436413471654</v>
      </c>
      <c r="EX110" s="19">
        <v>-2.2944439572439003E-2</v>
      </c>
      <c r="EY110" s="2">
        <v>44.492318001891341</v>
      </c>
      <c r="EZ110" s="2">
        <v>0.72270998355263494</v>
      </c>
      <c r="FA110" s="2">
        <v>-1.8184031904262348</v>
      </c>
      <c r="FB110" s="19">
        <v>7.1296278153814329E-5</v>
      </c>
      <c r="FC110" s="19">
        <v>0.51554113257543588</v>
      </c>
      <c r="FD110" s="19">
        <v>0.5064850056511907</v>
      </c>
      <c r="FE110" s="19">
        <v>-2.2944439572439003E-2</v>
      </c>
      <c r="FF110" s="13">
        <v>-0.75761287615403272</v>
      </c>
      <c r="FG110" s="13">
        <v>-0.64070430121827682</v>
      </c>
      <c r="FH110" s="13">
        <v>-0.24207174357859684</v>
      </c>
      <c r="FI110" s="2">
        <v>-0.13421929556708612</v>
      </c>
      <c r="FJ110" s="2">
        <v>-2.2944439572439003E-2</v>
      </c>
      <c r="FK110" s="2">
        <v>-0.24207174357859684</v>
      </c>
      <c r="FL110" s="19">
        <v>-0.11402019545245461</v>
      </c>
      <c r="FM110" s="2">
        <v>-7.4435620765881824E-2</v>
      </c>
      <c r="FN110" s="23">
        <v>205.22128874891132</v>
      </c>
      <c r="FO110" s="2">
        <v>0.2675805187419254</v>
      </c>
      <c r="FP110" s="23">
        <v>-15.545517901124983</v>
      </c>
      <c r="FQ110" s="2">
        <v>88.751300017454923</v>
      </c>
      <c r="FR110" s="19">
        <v>1.7565817845077953</v>
      </c>
      <c r="FS110" s="19">
        <v>2.2722939287115166E-2</v>
      </c>
      <c r="FT110" s="19">
        <v>4.7820434548074839</v>
      </c>
      <c r="FU110" s="19">
        <v>5.2025600000000001</v>
      </c>
      <c r="FV110" s="19">
        <v>4.8528754318054694E-2</v>
      </c>
      <c r="FW110" s="19">
        <v>4.0432842645271201</v>
      </c>
      <c r="FX110" s="19">
        <v>4.0063652240979639</v>
      </c>
      <c r="FY110" s="19">
        <v>-3.6279633288211555</v>
      </c>
      <c r="FZ110" s="19">
        <v>-3.9542117875539566</v>
      </c>
      <c r="GA110" s="2">
        <v>3.9699926382456585</v>
      </c>
      <c r="GB110" s="19">
        <v>5.3663683041794412</v>
      </c>
      <c r="GC110" s="19">
        <v>-2.5102806053205939</v>
      </c>
      <c r="GD110" s="19">
        <v>-4.7424284277937865</v>
      </c>
      <c r="GE110" s="19">
        <v>7.5978062007156941E-2</v>
      </c>
      <c r="GF110" s="19">
        <v>242.10673358268744</v>
      </c>
      <c r="GG110" s="19">
        <v>8.6815964814917664E-3</v>
      </c>
      <c r="GH110" s="2">
        <v>242.11541517916893</v>
      </c>
      <c r="GI110" s="2">
        <v>5.3658304213043646</v>
      </c>
      <c r="GJ110" s="2">
        <v>0.81123163599791992</v>
      </c>
      <c r="GK110" s="19">
        <v>7.1296278153814329E-5</v>
      </c>
      <c r="GL110" s="19">
        <v>-2.5095560904269547</v>
      </c>
      <c r="GM110" s="19">
        <v>-4.7428118599830995</v>
      </c>
      <c r="GN110" s="19">
        <v>7.5978062007156927E-2</v>
      </c>
      <c r="GO110" s="13">
        <v>-0.75761287615403272</v>
      </c>
      <c r="GP110" s="13">
        <v>-0.64070430121827682</v>
      </c>
      <c r="GQ110" s="13">
        <v>-3.2671689665809875</v>
      </c>
      <c r="GR110" s="2">
        <v>-5.383516161201376</v>
      </c>
      <c r="GS110" s="2">
        <v>7.5978062007156927E-2</v>
      </c>
      <c r="GT110" s="2">
        <v>-3.2671689665809875</v>
      </c>
      <c r="GU110" s="19">
        <v>-4.9695901598330821</v>
      </c>
      <c r="GV110" s="2">
        <v>-2.0715193861301331</v>
      </c>
      <c r="GW110" s="23">
        <v>236.67778947389456</v>
      </c>
      <c r="GX110" s="2">
        <v>5.9473707983359905</v>
      </c>
      <c r="GY110" s="23">
        <v>-19.203657900797715</v>
      </c>
      <c r="GZ110" s="2">
        <v>57.29479929247168</v>
      </c>
      <c r="HA110" s="19">
        <v>1.9866709177880277</v>
      </c>
      <c r="HB110" s="19">
        <v>4.3421280055081432E-2</v>
      </c>
      <c r="HC110" s="19">
        <v>5.9271161726293684</v>
      </c>
      <c r="HD110" s="19">
        <v>9.5547500000000003</v>
      </c>
      <c r="HE110" s="19">
        <v>5.5480630730095869E-2</v>
      </c>
      <c r="HF110" s="2">
        <v>3.2658627291920013</v>
      </c>
      <c r="HG110" s="19">
        <v>3.259364468656984</v>
      </c>
      <c r="HH110" s="19">
        <v>-10.018666962577576</v>
      </c>
      <c r="HI110" s="19">
        <v>-1.1209515493210844</v>
      </c>
      <c r="HJ110" s="2">
        <v>3.2530155420698397</v>
      </c>
      <c r="HK110" s="19">
        <v>10.081181482493445</v>
      </c>
      <c r="HL110" s="19">
        <v>1.7198666893524848</v>
      </c>
      <c r="HM110" s="19">
        <v>-9.9328265986266953</v>
      </c>
      <c r="HN110" s="19">
        <v>0.10599252538965415</v>
      </c>
      <c r="HO110" s="19">
        <v>-80.176575415557878</v>
      </c>
      <c r="HP110" s="19">
        <v>-0.13091128818190734</v>
      </c>
      <c r="HQ110" s="2">
        <v>-80.307486703739784</v>
      </c>
      <c r="HR110" s="2">
        <v>10.080624269733013</v>
      </c>
      <c r="HS110" s="2">
        <v>0.60241314636413967</v>
      </c>
      <c r="HT110" s="2">
        <v>-2.277892253336558E-3</v>
      </c>
      <c r="HU110" s="2">
        <v>0.60013525411080315</v>
      </c>
      <c r="HV110" s="19">
        <v>7.1296278153814329E-5</v>
      </c>
      <c r="HW110" s="19">
        <v>1.6971804427206818</v>
      </c>
      <c r="HX110" s="19">
        <v>-9.9367323104512622</v>
      </c>
      <c r="HY110" s="19">
        <v>0.10559175275122708</v>
      </c>
      <c r="HZ110" s="13">
        <v>-0.75761287615403272</v>
      </c>
      <c r="IA110" s="13">
        <v>-0.64070430121827682</v>
      </c>
      <c r="IB110" s="13">
        <v>0.93956756656664908</v>
      </c>
      <c r="IC110" s="2">
        <v>-10.577436611669539</v>
      </c>
      <c r="ID110" s="2">
        <v>0.10559175275122708</v>
      </c>
      <c r="IE110" s="2">
        <v>0.93956756656664908</v>
      </c>
      <c r="IF110" s="19">
        <v>-9.7467855668515426</v>
      </c>
      <c r="IG110" s="2">
        <v>-4.1101686104040418</v>
      </c>
      <c r="IH110" s="23">
        <v>-84.493832803739849</v>
      </c>
      <c r="II110" s="2">
        <v>9.7919669167297307</v>
      </c>
      <c r="IJ110" s="23">
        <v>-22.770181285113534</v>
      </c>
      <c r="IK110" s="2">
        <v>18.466421570106093</v>
      </c>
    </row>
    <row r="111" spans="1:245" ht="15" hidden="1">
      <c r="A111" s="85"/>
      <c r="B111" s="205" t="s">
        <v>162</v>
      </c>
      <c r="C111" s="85">
        <v>0.13944444444444445</v>
      </c>
      <c r="D111" s="85">
        <v>29.091666666666665</v>
      </c>
      <c r="E111" s="206">
        <v>357.66671951924093</v>
      </c>
      <c r="F111" s="206">
        <v>29.196509367484179</v>
      </c>
      <c r="G111" s="206">
        <v>4.3466670024588936</v>
      </c>
      <c r="H111" s="206">
        <v>-8.3684065664796563</v>
      </c>
      <c r="I111" s="85">
        <v>357.66827666328248</v>
      </c>
      <c r="J111" s="85">
        <v>29.19698369674569</v>
      </c>
      <c r="K111" s="85">
        <v>6880.2137759582447</v>
      </c>
      <c r="L111" s="206">
        <v>61.115448876284063</v>
      </c>
      <c r="M111" s="85">
        <v>0.18836998702144406</v>
      </c>
      <c r="N111" s="201">
        <v>120.71129761772565</v>
      </c>
      <c r="O111" s="201">
        <v>221.93103998799597</v>
      </c>
      <c r="P111" s="201">
        <v>154.74105431887438</v>
      </c>
      <c r="Q111" s="201">
        <v>23.436848579831626</v>
      </c>
      <c r="R111" s="201">
        <v>-13.468397584460533</v>
      </c>
      <c r="S111" s="201">
        <v>-4.5309741385384257</v>
      </c>
      <c r="T111" s="201">
        <v>18.9058744412932</v>
      </c>
      <c r="U111" s="15">
        <v>-3.5393906665076029E-3</v>
      </c>
      <c r="V111" s="15">
        <v>298.88809051438244</v>
      </c>
      <c r="W111" s="15">
        <v>221.92581971742675</v>
      </c>
      <c r="X111" s="15">
        <v>298.66858128431613</v>
      </c>
      <c r="Y111" s="15">
        <v>-1.6970761583600786</v>
      </c>
      <c r="Z111" s="15">
        <v>220.22874355906666</v>
      </c>
      <c r="AA111" s="15">
        <v>4.1116243278798912</v>
      </c>
      <c r="AB111" s="15">
        <v>23.436848579831626</v>
      </c>
      <c r="AC111" s="15">
        <v>-14.884742717792667</v>
      </c>
      <c r="AD111" s="15">
        <v>-0.59255828165347624</v>
      </c>
      <c r="AE111" s="15">
        <v>-0.7634721259417292</v>
      </c>
      <c r="AF111" s="15">
        <v>217.8163297970838</v>
      </c>
      <c r="AG111" s="15">
        <v>118.88455112371594</v>
      </c>
      <c r="AH111" s="15">
        <v>81.068221326632141</v>
      </c>
      <c r="AI111" s="15">
        <v>0</v>
      </c>
      <c r="AJ111" s="21">
        <v>0</v>
      </c>
      <c r="AK111" s="21">
        <v>4.9438978995482632</v>
      </c>
      <c r="AL111" s="15">
        <v>1</v>
      </c>
      <c r="AM111" s="21">
        <v>1.6701079147443874E-2</v>
      </c>
      <c r="AN111" s="21">
        <v>5.2127029084099163</v>
      </c>
      <c r="AO111" s="21">
        <v>5.1979314455313803</v>
      </c>
      <c r="AP111" s="21">
        <v>0.40905016468150679</v>
      </c>
      <c r="AQ111" s="21">
        <v>0.449987117008533</v>
      </c>
      <c r="AR111" s="21">
        <v>-0.88429856441311172</v>
      </c>
      <c r="AS111" s="15">
        <v>5.1831020901806868</v>
      </c>
      <c r="AT111" s="21">
        <v>0.99220580349882126</v>
      </c>
      <c r="AU111" s="22">
        <v>10.126999989728951</v>
      </c>
      <c r="AV111" s="21">
        <v>-0.757458671503902</v>
      </c>
      <c r="AW111" s="15">
        <v>-0.64088120385940905</v>
      </c>
      <c r="AX111" s="21">
        <v>-0.757458671503902</v>
      </c>
      <c r="AY111" s="15">
        <v>-0.58800787793248732</v>
      </c>
      <c r="AZ111" s="15">
        <v>-0.25490283040723277</v>
      </c>
      <c r="BA111" s="15">
        <v>37.821845647378197</v>
      </c>
      <c r="BB111" s="15">
        <v>0.95890401164408678</v>
      </c>
      <c r="BC111" s="15">
        <v>-14.886506580610929</v>
      </c>
      <c r="BD111" s="19">
        <v>-4.1764010211768747</v>
      </c>
      <c r="BE111" s="2">
        <v>8.9804171332116239E-2</v>
      </c>
      <c r="BF111" s="19">
        <v>25.291975453805311</v>
      </c>
      <c r="BG111" s="2">
        <v>60.266599999999997</v>
      </c>
      <c r="BH111" s="19">
        <v>5.4899999999999997E-2</v>
      </c>
      <c r="BI111" s="19">
        <v>0.43471566697520814</v>
      </c>
      <c r="BJ111" s="19">
        <v>0.4589882356783318</v>
      </c>
      <c r="BK111" s="19">
        <v>50.720443462970763</v>
      </c>
      <c r="BL111" s="19">
        <v>26.660323672806957</v>
      </c>
      <c r="BM111" s="2">
        <v>0.48394286503260348</v>
      </c>
      <c r="BN111" s="19">
        <v>57.300403518816907</v>
      </c>
      <c r="BO111" s="19">
        <v>-52.842992904823284</v>
      </c>
      <c r="BP111" s="19">
        <v>21.942095782177116</v>
      </c>
      <c r="BQ111" s="19">
        <v>3.0820085927532501</v>
      </c>
      <c r="BR111" s="2">
        <v>157.45021664893443</v>
      </c>
      <c r="BS111" s="2">
        <v>57.217457707009657</v>
      </c>
      <c r="BT111" s="2">
        <v>3.0832477550595008</v>
      </c>
      <c r="BU111" s="2">
        <v>10.15660080795818</v>
      </c>
      <c r="BV111" s="2">
        <v>21.550290099603643</v>
      </c>
      <c r="BW111" s="2">
        <v>11.393689291645464</v>
      </c>
      <c r="BX111" s="19">
        <v>25.726691120780519</v>
      </c>
      <c r="BY111" s="2">
        <v>-0.45060245619918776</v>
      </c>
      <c r="BZ111" s="19">
        <v>-0.92089112501112658</v>
      </c>
      <c r="CA111" s="19">
        <v>-0.75768877049323824</v>
      </c>
      <c r="CB111" s="19">
        <v>-0.75337374830920323</v>
      </c>
      <c r="CC111" s="19">
        <v>-0.80982556745989642</v>
      </c>
      <c r="CD111" s="19">
        <v>-0.85979420388010441</v>
      </c>
      <c r="CE111" s="19">
        <v>-0.90379483227463009</v>
      </c>
      <c r="CF111" s="19">
        <v>-0.86288301484903696</v>
      </c>
      <c r="CG111" s="19">
        <v>-0.83062024552727365</v>
      </c>
      <c r="CH111" s="19">
        <v>-0.81221261249315124</v>
      </c>
      <c r="CI111" s="19">
        <v>-0.80648662836351204</v>
      </c>
      <c r="CJ111" s="19">
        <v>-0.81656152843763707</v>
      </c>
      <c r="CK111" s="2">
        <v>2.7337730012859445</v>
      </c>
      <c r="CL111" s="19">
        <v>-3.4756301695464259E-2</v>
      </c>
      <c r="CM111" s="19">
        <v>-7.9668300566965083E-2</v>
      </c>
      <c r="CN111" s="19">
        <v>-6.9072280650182713E-2</v>
      </c>
      <c r="CO111" s="19">
        <v>-0.10153547451068246</v>
      </c>
      <c r="CP111" s="19">
        <v>-8.4633453282635482E-2</v>
      </c>
      <c r="CQ111" s="2">
        <v>5.2335692563397151E-2</v>
      </c>
      <c r="CR111" s="19">
        <v>57.842913645502193</v>
      </c>
      <c r="CS111" s="19">
        <v>58.164640487595712</v>
      </c>
      <c r="CT111" s="19">
        <v>-53.321319759563401</v>
      </c>
      <c r="CU111" s="19">
        <v>23.037019236914713</v>
      </c>
      <c r="CV111" s="19">
        <v>3.0426972947819215</v>
      </c>
      <c r="CW111" s="15">
        <v>-53.321319759563401</v>
      </c>
      <c r="CX111" s="15">
        <v>19.926246184116856</v>
      </c>
      <c r="CY111" s="21">
        <v>11.954370546357518</v>
      </c>
      <c r="CZ111" s="15">
        <v>159.50921911667649</v>
      </c>
      <c r="DA111" s="15">
        <v>56.922916544144485</v>
      </c>
      <c r="DB111" s="15">
        <v>11.860317121644107</v>
      </c>
      <c r="DC111" s="15">
        <v>139.37533200703945</v>
      </c>
      <c r="DD111" s="15">
        <v>0.86747506229853655</v>
      </c>
      <c r="DE111" s="15">
        <v>3.2281217241707558E-2</v>
      </c>
      <c r="DF111" s="15">
        <v>5.0039149447209983</v>
      </c>
      <c r="DG111" s="15">
        <v>1.5236879999999999</v>
      </c>
      <c r="DH111" s="15">
        <v>9.3422314391860314E-2</v>
      </c>
      <c r="DI111" s="15">
        <v>0.43219757942038228</v>
      </c>
      <c r="DJ111" s="21">
        <v>0.47464873762949045</v>
      </c>
      <c r="DK111" s="21">
        <v>1.2129028795126549</v>
      </c>
      <c r="DL111" s="21">
        <v>0.69331959626428574</v>
      </c>
      <c r="DM111" s="15">
        <v>0.51929044252509948</v>
      </c>
      <c r="DN111" s="21">
        <v>1.3970774701834405</v>
      </c>
      <c r="DO111" s="21">
        <v>1.3886310387326579</v>
      </c>
      <c r="DP111" s="21">
        <v>0.15021428779297163</v>
      </c>
      <c r="DQ111" s="21">
        <v>-3.1063864944208708E-2</v>
      </c>
      <c r="DR111" s="15">
        <v>6.1739985129966009</v>
      </c>
      <c r="DS111" s="15">
        <v>1.39673207666642</v>
      </c>
      <c r="DT111" s="15">
        <v>-1.2740703950152612</v>
      </c>
      <c r="DU111" s="21">
        <v>7.0775951390852316E-5</v>
      </c>
      <c r="DV111" s="21">
        <v>1.3886308531758871</v>
      </c>
      <c r="DW111" s="21">
        <v>0.15021600313181799</v>
      </c>
      <c r="DX111" s="21">
        <v>-3.1063864944208708E-2</v>
      </c>
      <c r="DY111" s="10">
        <v>-0.75745787983983182</v>
      </c>
      <c r="DZ111" s="10">
        <v>-0.6408821395274551</v>
      </c>
      <c r="EA111" s="10">
        <v>0.63117297333605527</v>
      </c>
      <c r="EB111" s="15">
        <v>-0.49066613639563711</v>
      </c>
      <c r="EC111" s="15">
        <v>-3.1063864944208708E-2</v>
      </c>
      <c r="ED111" s="15">
        <v>0.63117297333605527</v>
      </c>
      <c r="EE111" s="21">
        <v>-0.43783041772929732</v>
      </c>
      <c r="EF111" s="15">
        <v>-0.22365765451171798</v>
      </c>
      <c r="EG111" s="15">
        <v>-34.748170402426595</v>
      </c>
      <c r="EH111" s="15">
        <v>0.76816326191694939</v>
      </c>
      <c r="EI111" s="15">
        <v>-16.233394831807455</v>
      </c>
      <c r="EJ111" s="15">
        <v>333.63272152614252</v>
      </c>
      <c r="EK111" s="19">
        <v>1.3412784821690804</v>
      </c>
      <c r="EL111" s="19">
        <v>5.9250249773697694E-2</v>
      </c>
      <c r="EM111" s="19">
        <v>0.95969066994975538</v>
      </c>
      <c r="EN111" s="19">
        <v>0.72333000000000003</v>
      </c>
      <c r="EO111" s="2">
        <v>6.7640400086637024E-3</v>
      </c>
      <c r="EP111" s="19">
        <v>4.7718494879736539</v>
      </c>
      <c r="EQ111" s="19">
        <v>4.7650946877063118</v>
      </c>
      <c r="ER111" s="19">
        <v>3.3213338122026675E-2</v>
      </c>
      <c r="ES111" s="19">
        <v>-0.72230904219543379</v>
      </c>
      <c r="ET111" s="2">
        <v>4.7583387851300403</v>
      </c>
      <c r="EU111" s="19">
        <v>0.72307224968635941</v>
      </c>
      <c r="EV111" s="19">
        <v>0.51534800803653147</v>
      </c>
      <c r="EW111" s="19">
        <v>0.50667948034091104</v>
      </c>
      <c r="EX111" s="19">
        <v>-2.2930614486671743E-2</v>
      </c>
      <c r="EY111" s="2">
        <v>44.514116975588813</v>
      </c>
      <c r="EZ111" s="2">
        <v>0.72270856172163656</v>
      </c>
      <c r="FA111" s="2">
        <v>-1.8173118262606747</v>
      </c>
      <c r="FB111" s="19">
        <v>7.0775951390852316E-5</v>
      </c>
      <c r="FC111" s="19">
        <v>0.51534738214846243</v>
      </c>
      <c r="FD111" s="19">
        <v>0.50668011693620174</v>
      </c>
      <c r="FE111" s="19">
        <v>-2.2930614486671743E-2</v>
      </c>
      <c r="FF111" s="13">
        <v>-0.75745787983983182</v>
      </c>
      <c r="FG111" s="13">
        <v>-0.6408821395274551</v>
      </c>
      <c r="FH111" s="13">
        <v>-0.24211049769136939</v>
      </c>
      <c r="FI111" s="2">
        <v>-0.13420202259125336</v>
      </c>
      <c r="FJ111" s="2">
        <v>-2.2930614486671743E-2</v>
      </c>
      <c r="FK111" s="2">
        <v>-0.24211049769136939</v>
      </c>
      <c r="FL111" s="19">
        <v>-0.11400984628293793</v>
      </c>
      <c r="FM111" s="2">
        <v>-7.4416066134004297E-2</v>
      </c>
      <c r="FN111" s="23">
        <v>205.21574861162242</v>
      </c>
      <c r="FO111" s="2">
        <v>0.2676111696880788</v>
      </c>
      <c r="FP111" s="23">
        <v>-15.539937390174154</v>
      </c>
      <c r="FQ111" s="2">
        <v>93.668802512093521</v>
      </c>
      <c r="FR111" s="19">
        <v>1.7565817910827577</v>
      </c>
      <c r="FS111" s="19">
        <v>2.2722939250138213E-2</v>
      </c>
      <c r="FT111" s="19">
        <v>4.7820434587142877</v>
      </c>
      <c r="FU111" s="19">
        <v>5.2025600000000001</v>
      </c>
      <c r="FV111" s="19">
        <v>4.8528754378864759E-2</v>
      </c>
      <c r="FW111" s="19">
        <v>4.0433039963248785</v>
      </c>
      <c r="FX111" s="19">
        <v>4.0063843511876032</v>
      </c>
      <c r="FY111" s="19">
        <v>-3.6278876067402934</v>
      </c>
      <c r="FZ111" s="19">
        <v>-3.9542762740411952</v>
      </c>
      <c r="GA111" s="2">
        <v>3.9700111595947263</v>
      </c>
      <c r="GB111" s="19">
        <v>5.3663646296710894</v>
      </c>
      <c r="GC111" s="19">
        <v>-2.5101910169818229</v>
      </c>
      <c r="GD111" s="19">
        <v>-4.7424717191896555</v>
      </c>
      <c r="GE111" s="19">
        <v>7.5976243227790202E-2</v>
      </c>
      <c r="GF111" s="19">
        <v>242.10779479676904</v>
      </c>
      <c r="GG111" s="19">
        <v>8.6817071289033518E-3</v>
      </c>
      <c r="GH111" s="2">
        <v>242.11647650389796</v>
      </c>
      <c r="GI111" s="2">
        <v>5.3658267721805863</v>
      </c>
      <c r="GJ111" s="2">
        <v>0.81121277075901366</v>
      </c>
      <c r="GK111" s="19">
        <v>7.0775951390852316E-5</v>
      </c>
      <c r="GL111" s="19">
        <v>-2.5094665293883556</v>
      </c>
      <c r="GM111" s="19">
        <v>-4.7428551197490192</v>
      </c>
      <c r="GN111" s="19">
        <v>7.5976243227790216E-2</v>
      </c>
      <c r="GO111" s="13">
        <v>-0.75745787983983182</v>
      </c>
      <c r="GP111" s="13">
        <v>-0.6408821395274551</v>
      </c>
      <c r="GQ111" s="13">
        <v>-3.2669244092281873</v>
      </c>
      <c r="GR111" s="2">
        <v>-5.3837372592764741</v>
      </c>
      <c r="GS111" s="2">
        <v>7.5976243227790216E-2</v>
      </c>
      <c r="GT111" s="2">
        <v>-3.2669244092281873</v>
      </c>
      <c r="GU111" s="19">
        <v>-4.9697922938775303</v>
      </c>
      <c r="GV111" s="2">
        <v>-2.0716089935536304</v>
      </c>
      <c r="GW111" s="23">
        <v>236.68082788402594</v>
      </c>
      <c r="GX111" s="2">
        <v>5.9474053619957186</v>
      </c>
      <c r="GY111" s="23">
        <v>-19.204324324215872</v>
      </c>
      <c r="GZ111" s="2">
        <v>62.203723239690021</v>
      </c>
      <c r="HA111" s="19">
        <v>1.9866709234635263</v>
      </c>
      <c r="HB111" s="19">
        <v>4.3421280029408933E-2</v>
      </c>
      <c r="HC111" s="19">
        <v>5.9271161796984728</v>
      </c>
      <c r="HD111" s="19">
        <v>9.5547500000000003</v>
      </c>
      <c r="HE111" s="19">
        <v>5.5480630600842171E-2</v>
      </c>
      <c r="HF111" s="2">
        <v>3.2658706718093615</v>
      </c>
      <c r="HG111" s="19">
        <v>3.2593719977224964</v>
      </c>
      <c r="HH111" s="19">
        <v>-10.018658508336786</v>
      </c>
      <c r="HI111" s="19">
        <v>-1.1210228792783696</v>
      </c>
      <c r="HJ111" s="2">
        <v>3.2530226669969924</v>
      </c>
      <c r="HK111" s="19">
        <v>10.081181012288919</v>
      </c>
      <c r="HL111" s="19">
        <v>1.7199374528259133</v>
      </c>
      <c r="HM111" s="19">
        <v>-9.9328139008245167</v>
      </c>
      <c r="HN111" s="19">
        <v>0.10598949235004983</v>
      </c>
      <c r="HO111" s="19">
        <v>-80.176167317459814</v>
      </c>
      <c r="HP111" s="19">
        <v>-0.13091017927844487</v>
      </c>
      <c r="HQ111" s="2">
        <v>-80.307077496738259</v>
      </c>
      <c r="HR111" s="2">
        <v>10.080623831392879</v>
      </c>
      <c r="HS111" s="2">
        <v>0.6023959354137628</v>
      </c>
      <c r="HT111" s="2">
        <v>-2.2778896789451908E-3</v>
      </c>
      <c r="HU111" s="2">
        <v>0.60011804573481764</v>
      </c>
      <c r="HV111" s="19">
        <v>7.0775951390852316E-5</v>
      </c>
      <c r="HW111" s="19">
        <v>1.6972513370905571</v>
      </c>
      <c r="HX111" s="19">
        <v>-9.9367197567129395</v>
      </c>
      <c r="HY111" s="19">
        <v>0.10558872018199091</v>
      </c>
      <c r="HZ111" s="13">
        <v>-0.75745787983983182</v>
      </c>
      <c r="IA111" s="13">
        <v>-0.6408821395274551</v>
      </c>
      <c r="IB111" s="13">
        <v>0.93979345725072527</v>
      </c>
      <c r="IC111" s="2">
        <v>-10.577601896240395</v>
      </c>
      <c r="ID111" s="2">
        <v>0.10558872018199091</v>
      </c>
      <c r="IE111" s="2">
        <v>0.93979345725072527</v>
      </c>
      <c r="IF111" s="19">
        <v>-9.7469360094627238</v>
      </c>
      <c r="IG111" s="2">
        <v>-4.1102371319203641</v>
      </c>
      <c r="IH111" s="23">
        <v>-84.492601634816083</v>
      </c>
      <c r="II111" s="2">
        <v>9.7921383423056483</v>
      </c>
      <c r="IJ111" s="23">
        <v>-22.770164200943711</v>
      </c>
      <c r="IK111" s="2">
        <v>23.37715275853202</v>
      </c>
    </row>
    <row r="112" spans="1:245" ht="15" hidden="1">
      <c r="A112" s="85"/>
      <c r="B112" s="205" t="s">
        <v>163</v>
      </c>
      <c r="C112" s="85">
        <v>19.845833333333331</v>
      </c>
      <c r="D112" s="85">
        <v>8.8683333333333341</v>
      </c>
      <c r="E112" s="206">
        <v>62.065470972956291</v>
      </c>
      <c r="F112" s="206">
        <v>8.9170808558275922</v>
      </c>
      <c r="G112" s="206">
        <v>4.3466670024588936</v>
      </c>
      <c r="H112" s="206">
        <v>-8.3684065664796563</v>
      </c>
      <c r="I112" s="85">
        <v>62.066242464505379</v>
      </c>
      <c r="J112" s="85">
        <v>8.9165148647359942</v>
      </c>
      <c r="K112" s="85">
        <v>6880.2140043238769</v>
      </c>
      <c r="L112" s="206">
        <v>61.033012161031365</v>
      </c>
      <c r="M112" s="85">
        <v>0.18836999327375434</v>
      </c>
      <c r="N112" s="201">
        <v>120.71128552490561</v>
      </c>
      <c r="O112" s="201">
        <v>221.93126507597844</v>
      </c>
      <c r="P112" s="201">
        <v>154.74406335499953</v>
      </c>
      <c r="Q112" s="201">
        <v>23.436848579750258</v>
      </c>
      <c r="R112" s="201">
        <v>-13.468383010389008</v>
      </c>
      <c r="S112" s="201">
        <v>-4.5309687820963047</v>
      </c>
      <c r="T112" s="201">
        <v>18.905879797653952</v>
      </c>
      <c r="U112" s="15">
        <v>-3.5393867232296908E-3</v>
      </c>
      <c r="V112" s="15">
        <v>298.97052722569185</v>
      </c>
      <c r="W112" s="15">
        <v>221.92604480541831</v>
      </c>
      <c r="X112" s="15">
        <v>298.66880636154656</v>
      </c>
      <c r="Y112" s="15">
        <v>-1.6970726341593327</v>
      </c>
      <c r="Z112" s="15">
        <v>220.22897217125899</v>
      </c>
      <c r="AA112" s="15">
        <v>4.1116248653449761</v>
      </c>
      <c r="AB112" s="15">
        <v>23.436848579750258</v>
      </c>
      <c r="AC112" s="15">
        <v>-14.88481454877706</v>
      </c>
      <c r="AD112" s="15">
        <v>-0.59256107660882351</v>
      </c>
      <c r="AE112" s="15">
        <v>-0.76346954900803454</v>
      </c>
      <c r="AF112" s="15">
        <v>217.81655436686802</v>
      </c>
      <c r="AG112" s="15">
        <v>118.96698783896863</v>
      </c>
      <c r="AH112" s="15">
        <v>81.150433472100616</v>
      </c>
      <c r="AI112" s="15">
        <v>0</v>
      </c>
      <c r="AJ112" s="21">
        <v>0</v>
      </c>
      <c r="AK112" s="21">
        <v>4.9438978997359655</v>
      </c>
      <c r="AL112" s="15">
        <v>1</v>
      </c>
      <c r="AM112" s="21">
        <v>1.6701079147181025E-2</v>
      </c>
      <c r="AN112" s="21">
        <v>5.2127068367485876</v>
      </c>
      <c r="AO112" s="21">
        <v>5.1979354047509458</v>
      </c>
      <c r="AP112" s="21">
        <v>0.40905016468008665</v>
      </c>
      <c r="AQ112" s="21">
        <v>0.44999061862569667</v>
      </c>
      <c r="AR112" s="21">
        <v>-0.88429671694285428</v>
      </c>
      <c r="AS112" s="15">
        <v>5.1831060799454081</v>
      </c>
      <c r="AT112" s="21">
        <v>0.99220574501816294</v>
      </c>
      <c r="AU112" s="22">
        <v>10.127003979681373</v>
      </c>
      <c r="AV112" s="21">
        <v>-0.75745606976786106</v>
      </c>
      <c r="AW112" s="15">
        <v>-0.64088418830462113</v>
      </c>
      <c r="AX112" s="21">
        <v>-0.75745606976786106</v>
      </c>
      <c r="AY112" s="15">
        <v>-0.58801061615841343</v>
      </c>
      <c r="AZ112" s="15">
        <v>-0.25490401743377061</v>
      </c>
      <c r="BA112" s="15">
        <v>37.822070216164597</v>
      </c>
      <c r="BB112" s="15">
        <v>0.9589036355876287</v>
      </c>
      <c r="BC112" s="15">
        <v>-14.886578404731415</v>
      </c>
      <c r="BD112" s="19">
        <v>-4.1764012322365724</v>
      </c>
      <c r="BE112" s="2">
        <v>8.9804171332116239E-2</v>
      </c>
      <c r="BF112" s="19">
        <v>25.291976108889575</v>
      </c>
      <c r="BG112" s="2">
        <v>60.266599999999997</v>
      </c>
      <c r="BH112" s="19">
        <v>5.4899999999999997E-2</v>
      </c>
      <c r="BI112" s="19">
        <v>0.43476774053796419</v>
      </c>
      <c r="BJ112" s="19">
        <v>0.45904300341489823</v>
      </c>
      <c r="BK112" s="19">
        <v>50.718981050954419</v>
      </c>
      <c r="BL112" s="19">
        <v>26.663278220562237</v>
      </c>
      <c r="BM112" s="2">
        <v>0.48400038094677861</v>
      </c>
      <c r="BN112" s="19">
        <v>57.300483805236603</v>
      </c>
      <c r="BO112" s="19">
        <v>-52.844325266530561</v>
      </c>
      <c r="BP112" s="19">
        <v>21.939062271555891</v>
      </c>
      <c r="BQ112" s="19">
        <v>3.0822521123514721</v>
      </c>
      <c r="BR112" s="2">
        <v>157.45353371013124</v>
      </c>
      <c r="BS112" s="2">
        <v>57.217524992174269</v>
      </c>
      <c r="BT112" s="2">
        <v>3.0834872834242493</v>
      </c>
      <c r="BU112" s="2">
        <v>10.156604736484553</v>
      </c>
      <c r="BV112" s="2">
        <v>21.550342617190967</v>
      </c>
      <c r="BW112" s="2">
        <v>11.393737880706414</v>
      </c>
      <c r="BX112" s="19">
        <v>25.726743849427539</v>
      </c>
      <c r="BY112" s="2">
        <v>-0.45065620465881606</v>
      </c>
      <c r="BZ112" s="19">
        <v>-0.92098959352217458</v>
      </c>
      <c r="CA112" s="19">
        <v>-0.75778758950916081</v>
      </c>
      <c r="CB112" s="19">
        <v>-0.7534721572551426</v>
      </c>
      <c r="CC112" s="19">
        <v>-0.80992430108179547</v>
      </c>
      <c r="CD112" s="19">
        <v>-0.85989557382769199</v>
      </c>
      <c r="CE112" s="19">
        <v>-0.90389495114598106</v>
      </c>
      <c r="CF112" s="19">
        <v>-0.86298300437268927</v>
      </c>
      <c r="CG112" s="19">
        <v>-0.83072089438673535</v>
      </c>
      <c r="CH112" s="19">
        <v>-0.81231465824341242</v>
      </c>
      <c r="CI112" s="19">
        <v>-0.80658855933074769</v>
      </c>
      <c r="CJ112" s="19">
        <v>-0.81666408754801256</v>
      </c>
      <c r="CK112" s="2">
        <v>2.7338291049311647</v>
      </c>
      <c r="CL112" s="19">
        <v>-3.4763834634100557E-2</v>
      </c>
      <c r="CM112" s="19">
        <v>-7.9678939263627957E-2</v>
      </c>
      <c r="CN112" s="19">
        <v>-6.9082578070261899E-2</v>
      </c>
      <c r="CO112" s="19">
        <v>-0.101546660211562</v>
      </c>
      <c r="CP112" s="19">
        <v>-8.4644353277990914E-2</v>
      </c>
      <c r="CQ112" s="2">
        <v>5.233968288120653E-2</v>
      </c>
      <c r="CR112" s="19">
        <v>57.842984678583093</v>
      </c>
      <c r="CS112" s="19">
        <v>58.164679569592174</v>
      </c>
      <c r="CT112" s="19">
        <v>-53.322636818645549</v>
      </c>
      <c r="CU112" s="19">
        <v>23.034038342363687</v>
      </c>
      <c r="CV112" s="19">
        <v>3.0429311169790259</v>
      </c>
      <c r="CW112" s="15">
        <v>-53.322636818645549</v>
      </c>
      <c r="CX112" s="15">
        <v>19.923418216316662</v>
      </c>
      <c r="CY112" s="21">
        <v>11.953399462826507</v>
      </c>
      <c r="CZ112" s="15">
        <v>159.51234955870757</v>
      </c>
      <c r="DA112" s="15">
        <v>56.923160406950636</v>
      </c>
      <c r="DB112" s="15">
        <v>11.859331594655757</v>
      </c>
      <c r="DC112" s="15">
        <v>139.45463828026107</v>
      </c>
      <c r="DD112" s="15">
        <v>0.86747506238266781</v>
      </c>
      <c r="DE112" s="15">
        <v>3.2281217241636614E-2</v>
      </c>
      <c r="DF112" s="15">
        <v>5.0039149448377653</v>
      </c>
      <c r="DG112" s="15">
        <v>1.5236879999999999</v>
      </c>
      <c r="DH112" s="15">
        <v>9.3422314392434883E-2</v>
      </c>
      <c r="DI112" s="15">
        <v>0.43219966802685406</v>
      </c>
      <c r="DJ112" s="21">
        <v>0.47465101524888714</v>
      </c>
      <c r="DK112" s="21">
        <v>1.2129012934536081</v>
      </c>
      <c r="DL112" s="21">
        <v>0.69332266950498733</v>
      </c>
      <c r="DM112" s="15">
        <v>0.51929291569081382</v>
      </c>
      <c r="DN112" s="21">
        <v>1.3970776183558871</v>
      </c>
      <c r="DO112" s="21">
        <v>1.3886308162673304</v>
      </c>
      <c r="DP112" s="21">
        <v>0.15021773842002442</v>
      </c>
      <c r="DQ112" s="21">
        <v>-3.1063787400416872E-2</v>
      </c>
      <c r="DR112" s="15">
        <v>6.1741402139601949</v>
      </c>
      <c r="DS112" s="15">
        <v>1.3967322266001094</v>
      </c>
      <c r="DT112" s="15">
        <v>-1.2740670789189585</v>
      </c>
      <c r="DU112" s="21">
        <v>7.0767218826095951E-5</v>
      </c>
      <c r="DV112" s="21">
        <v>1.3886306307291925</v>
      </c>
      <c r="DW112" s="21">
        <v>0.15021945354695199</v>
      </c>
      <c r="DX112" s="21">
        <v>-3.1063787400416872E-2</v>
      </c>
      <c r="DY112" s="10">
        <v>-0.75745527819778247</v>
      </c>
      <c r="DZ112" s="10">
        <v>-0.64088512385400842</v>
      </c>
      <c r="EA112" s="10">
        <v>0.63117535253140999</v>
      </c>
      <c r="EB112" s="15">
        <v>-0.49066567030705643</v>
      </c>
      <c r="EC112" s="15">
        <v>-3.1063787400416872E-2</v>
      </c>
      <c r="ED112" s="15">
        <v>0.63117535253140999</v>
      </c>
      <c r="EE112" s="21">
        <v>-0.43783002093591561</v>
      </c>
      <c r="EF112" s="15">
        <v>-0.22365739798358331</v>
      </c>
      <c r="EG112" s="15">
        <v>-34.748044938006871</v>
      </c>
      <c r="EH112" s="15">
        <v>0.76816499066014066</v>
      </c>
      <c r="EI112" s="15">
        <v>-16.233342584141681</v>
      </c>
      <c r="EJ112" s="15">
        <v>333.71503277697548</v>
      </c>
      <c r="EK112" s="19">
        <v>1.3412784822673647</v>
      </c>
      <c r="EL112" s="19">
        <v>5.9250249773807301E-2</v>
      </c>
      <c r="EM112" s="19">
        <v>0.9596906700049076</v>
      </c>
      <c r="EN112" s="19">
        <v>0.72333000000000003</v>
      </c>
      <c r="EO112" s="2">
        <v>6.7640400083663708E-3</v>
      </c>
      <c r="EP112" s="19">
        <v>4.7718558736356584</v>
      </c>
      <c r="EQ112" s="19">
        <v>4.765101075645414</v>
      </c>
      <c r="ER112" s="19">
        <v>3.3217952293194249E-2</v>
      </c>
      <c r="ES112" s="19">
        <v>-0.7223087987676432</v>
      </c>
      <c r="ET112" s="2">
        <v>4.7583451752004722</v>
      </c>
      <c r="EU112" s="19">
        <v>0.72307221847593384</v>
      </c>
      <c r="EV112" s="19">
        <v>0.51534475564213322</v>
      </c>
      <c r="EW112" s="19">
        <v>0.50668275431998777</v>
      </c>
      <c r="EX112" s="19">
        <v>-2.2930382434003277E-2</v>
      </c>
      <c r="EY112" s="2">
        <v>44.51448282517449</v>
      </c>
      <c r="EZ112" s="2">
        <v>0.72270853785820122</v>
      </c>
      <c r="FA112" s="2">
        <v>-1.8172935077708048</v>
      </c>
      <c r="FB112" s="19">
        <v>7.0767218826095951E-5</v>
      </c>
      <c r="FC112" s="19">
        <v>0.51534412982724453</v>
      </c>
      <c r="FD112" s="19">
        <v>0.50668339083271619</v>
      </c>
      <c r="FE112" s="19">
        <v>-2.2930382434003273E-2</v>
      </c>
      <c r="FF112" s="13">
        <v>-0.75745527819778247</v>
      </c>
      <c r="FG112" s="13">
        <v>-0.64088512385400842</v>
      </c>
      <c r="FH112" s="13">
        <v>-0.24211114837053793</v>
      </c>
      <c r="FI112" s="2">
        <v>-0.13420173302129224</v>
      </c>
      <c r="FJ112" s="2">
        <v>-2.2930382434003273E-2</v>
      </c>
      <c r="FK112" s="2">
        <v>-0.24211114837053793</v>
      </c>
      <c r="FL112" s="19">
        <v>-0.11400967289906273</v>
      </c>
      <c r="FM112" s="2">
        <v>-7.4415738052757127E-2</v>
      </c>
      <c r="FN112" s="23">
        <v>205.21565567711795</v>
      </c>
      <c r="FO112" s="2">
        <v>0.26761168449799033</v>
      </c>
      <c r="FP112" s="23">
        <v>-15.539843739649523</v>
      </c>
      <c r="FQ112" s="2">
        <v>93.751332161850655</v>
      </c>
      <c r="FR112" s="19">
        <v>1.7565817911931043</v>
      </c>
      <c r="FS112" s="19">
        <v>2.2722939249517637E-2</v>
      </c>
      <c r="FT112" s="19">
        <v>4.7820434587798548</v>
      </c>
      <c r="FU112" s="19">
        <v>5.2025600000000001</v>
      </c>
      <c r="FV112" s="19">
        <v>4.8528754379885325E-2</v>
      </c>
      <c r="FW112" s="19">
        <v>4.043304327480632</v>
      </c>
      <c r="FX112" s="19">
        <v>4.0063846721947431</v>
      </c>
      <c r="FY112" s="19">
        <v>-3.6278863358971805</v>
      </c>
      <c r="FZ112" s="19">
        <v>-3.9542773562961093</v>
      </c>
      <c r="GA112" s="2">
        <v>3.9700114704359195</v>
      </c>
      <c r="GB112" s="19">
        <v>5.3663645680018437</v>
      </c>
      <c r="GC112" s="19">
        <v>-2.5101895134267949</v>
      </c>
      <c r="GD112" s="19">
        <v>-4.7424724457281808</v>
      </c>
      <c r="GE112" s="19">
        <v>7.597621270326356E-2</v>
      </c>
      <c r="GF112" s="19">
        <v>242.10781260697539</v>
      </c>
      <c r="GG112" s="19">
        <v>8.6817089860152814E-3</v>
      </c>
      <c r="GH112" s="2">
        <v>242.1164943159614</v>
      </c>
      <c r="GI112" s="2">
        <v>5.3658267109373634</v>
      </c>
      <c r="GJ112" s="2">
        <v>0.81121245414399201</v>
      </c>
      <c r="GK112" s="19">
        <v>7.0767218826095951E-5</v>
      </c>
      <c r="GL112" s="19">
        <v>-2.5094650262914979</v>
      </c>
      <c r="GM112" s="19">
        <v>-4.7428558457567203</v>
      </c>
      <c r="GN112" s="19">
        <v>7.597621270326356E-2</v>
      </c>
      <c r="GO112" s="13">
        <v>-0.75745527819778247</v>
      </c>
      <c r="GP112" s="13">
        <v>-0.64088512385400842</v>
      </c>
      <c r="GQ112" s="13">
        <v>-3.2669203044892803</v>
      </c>
      <c r="GR112" s="2">
        <v>-5.383740969610729</v>
      </c>
      <c r="GS112" s="2">
        <v>7.597621270326356E-2</v>
      </c>
      <c r="GT112" s="2">
        <v>-3.2669203044892803</v>
      </c>
      <c r="GU112" s="19">
        <v>-4.9697956859677435</v>
      </c>
      <c r="GV112" s="2">
        <v>-2.0716104972938822</v>
      </c>
      <c r="GW112" s="23">
        <v>236.68087887831908</v>
      </c>
      <c r="GX112" s="2">
        <v>5.9474059417655294</v>
      </c>
      <c r="GY112" s="23">
        <v>-19.204335508409326</v>
      </c>
      <c r="GZ112" s="2">
        <v>62.286108960649585</v>
      </c>
      <c r="HA112" s="19">
        <v>1.9866709235587774</v>
      </c>
      <c r="HB112" s="19">
        <v>4.342128002897807E-2</v>
      </c>
      <c r="HC112" s="19">
        <v>5.9271161798171121</v>
      </c>
      <c r="HD112" s="19">
        <v>9.5547500000000003</v>
      </c>
      <c r="HE112" s="19">
        <v>5.5480630598672927E-2</v>
      </c>
      <c r="HF112" s="2">
        <v>3.2658708051090972</v>
      </c>
      <c r="HG112" s="19">
        <v>3.2593721240816573</v>
      </c>
      <c r="HH112" s="19">
        <v>-10.018658366445962</v>
      </c>
      <c r="HI112" s="19">
        <v>-1.1210240763976476</v>
      </c>
      <c r="HJ112" s="2">
        <v>3.2530227865735633</v>
      </c>
      <c r="HK112" s="19">
        <v>10.081181004397296</v>
      </c>
      <c r="HL112" s="19">
        <v>1.7199386404376957</v>
      </c>
      <c r="HM112" s="19">
        <v>-9.9328136877146722</v>
      </c>
      <c r="HN112" s="19">
        <v>0.10598944144696049</v>
      </c>
      <c r="HO112" s="19">
        <v>-80.176160468411396</v>
      </c>
      <c r="HP112" s="19">
        <v>-0.13091016066784408</v>
      </c>
      <c r="HQ112" s="2">
        <v>-80.307070629079234</v>
      </c>
      <c r="HR112" s="2">
        <v>10.080623824036023</v>
      </c>
      <c r="HS112" s="2">
        <v>0.60239564656473521</v>
      </c>
      <c r="HT112" s="2">
        <v>-2.2778896357385698E-3</v>
      </c>
      <c r="HU112" s="2">
        <v>0.6001177569289966</v>
      </c>
      <c r="HV112" s="19">
        <v>7.0767218826095951E-5</v>
      </c>
      <c r="HW112" s="19">
        <v>1.6972525268991774</v>
      </c>
      <c r="HX112" s="19">
        <v>-9.9367195460208855</v>
      </c>
      <c r="HY112" s="19">
        <v>0.10558866928679586</v>
      </c>
      <c r="HZ112" s="13">
        <v>-0.75745527819778247</v>
      </c>
      <c r="IA112" s="13">
        <v>-0.64088512385400842</v>
      </c>
      <c r="IB112" s="13">
        <v>0.93979724870139492</v>
      </c>
      <c r="IC112" s="2">
        <v>-10.577604669874894</v>
      </c>
      <c r="ID112" s="2">
        <v>0.10558866928679586</v>
      </c>
      <c r="IE112" s="2">
        <v>0.93979724870139492</v>
      </c>
      <c r="IF112" s="19">
        <v>-9.7469385340325356</v>
      </c>
      <c r="IG112" s="2">
        <v>-4.1102382817827721</v>
      </c>
      <c r="IH112" s="23">
        <v>-84.492580970396219</v>
      </c>
      <c r="II112" s="2">
        <v>9.7921412191039732</v>
      </c>
      <c r="IJ112" s="23">
        <v>-22.770163914052677</v>
      </c>
      <c r="IK112" s="2">
        <v>23.459568809364839</v>
      </c>
    </row>
    <row r="113" spans="1:245" ht="15" hidden="1">
      <c r="A113" s="85"/>
      <c r="B113" s="205" t="s">
        <v>164</v>
      </c>
      <c r="C113" s="85">
        <v>0.43777777777777777</v>
      </c>
      <c r="D113" s="85">
        <v>-42.311666666666667</v>
      </c>
      <c r="E113" s="206">
        <v>353.19259127969485</v>
      </c>
      <c r="F113" s="206">
        <v>-42.207442346707133</v>
      </c>
      <c r="G113" s="206">
        <v>4.3466670024588936</v>
      </c>
      <c r="H113" s="206">
        <v>-8.3684065664796563</v>
      </c>
      <c r="I113" s="85">
        <v>353.1906939539615</v>
      </c>
      <c r="J113" s="85">
        <v>-42.206982952060379</v>
      </c>
      <c r="K113" s="85">
        <v>6880.2140081563366</v>
      </c>
      <c r="L113" s="206">
        <v>61.03162869811058</v>
      </c>
      <c r="M113" s="85">
        <v>0.18836999337868135</v>
      </c>
      <c r="N113" s="201">
        <v>120.71128532196249</v>
      </c>
      <c r="O113" s="201">
        <v>221.9312688534319</v>
      </c>
      <c r="P113" s="201">
        <v>154.74411385299754</v>
      </c>
      <c r="Q113" s="201">
        <v>23.436848579748894</v>
      </c>
      <c r="R113" s="201">
        <v>-13.468382765789199</v>
      </c>
      <c r="S113" s="201">
        <v>-4.5309686922098926</v>
      </c>
      <c r="T113" s="201">
        <v>18.905879887539001</v>
      </c>
      <c r="U113" s="15">
        <v>-3.5393866570490548E-3</v>
      </c>
      <c r="V113" s="15">
        <v>298.97191068854647</v>
      </c>
      <c r="W113" s="15">
        <v>221.92604858287177</v>
      </c>
      <c r="X113" s="15">
        <v>298.66881013881994</v>
      </c>
      <c r="Y113" s="15">
        <v>-1.6970725750155389</v>
      </c>
      <c r="Z113" s="15">
        <v>220.22897600785623</v>
      </c>
      <c r="AA113" s="15">
        <v>4.1116248743632617</v>
      </c>
      <c r="AB113" s="15">
        <v>23.436848579748894</v>
      </c>
      <c r="AC113" s="15">
        <v>-14.884815754251395</v>
      </c>
      <c r="AD113" s="15">
        <v>-0.59256112351401902</v>
      </c>
      <c r="AE113" s="15">
        <v>-0.76346950576152051</v>
      </c>
      <c r="AF113" s="15">
        <v>217.81655813562634</v>
      </c>
      <c r="AG113" s="15">
        <v>118.96837130188942</v>
      </c>
      <c r="AH113" s="15">
        <v>81.151813166263082</v>
      </c>
      <c r="AI113" s="15">
        <v>0</v>
      </c>
      <c r="AJ113" s="21">
        <v>0</v>
      </c>
      <c r="AK113" s="21">
        <v>4.9438978997391159</v>
      </c>
      <c r="AL113" s="15">
        <v>1</v>
      </c>
      <c r="AM113" s="21">
        <v>1.6701079147176615E-2</v>
      </c>
      <c r="AN113" s="21">
        <v>5.2127069026744479</v>
      </c>
      <c r="AO113" s="21">
        <v>5.1979354711950547</v>
      </c>
      <c r="AP113" s="21">
        <v>0.40905016468006283</v>
      </c>
      <c r="AQ113" s="21">
        <v>0.44999067739020349</v>
      </c>
      <c r="AR113" s="21">
        <v>-0.88429668593826316</v>
      </c>
      <c r="AS113" s="15">
        <v>5.1831061469021318</v>
      </c>
      <c r="AT113" s="21">
        <v>0.99220574403673423</v>
      </c>
      <c r="AU113" s="22">
        <v>10.127004046641247</v>
      </c>
      <c r="AV113" s="21">
        <v>-0.75745602610510598</v>
      </c>
      <c r="AW113" s="15">
        <v>-0.64088423838985953</v>
      </c>
      <c r="AX113" s="21">
        <v>-0.75745602610510598</v>
      </c>
      <c r="AY113" s="15">
        <v>-0.58801066211157682</v>
      </c>
      <c r="AZ113" s="15">
        <v>-0.25490403735456091</v>
      </c>
      <c r="BA113" s="15">
        <v>37.822073984906993</v>
      </c>
      <c r="BB113" s="15">
        <v>0.95890362927659945</v>
      </c>
      <c r="BC113" s="15">
        <v>-14.886579610090806</v>
      </c>
      <c r="BD113" s="19">
        <v>-4.1764012357786013</v>
      </c>
      <c r="BE113" s="2">
        <v>8.9804171332116239E-2</v>
      </c>
      <c r="BF113" s="19">
        <v>25.29197611988328</v>
      </c>
      <c r="BG113" s="2">
        <v>60.266599999999997</v>
      </c>
      <c r="BH113" s="19">
        <v>5.4899999999999997E-2</v>
      </c>
      <c r="BI113" s="19">
        <v>0.43476861444277404</v>
      </c>
      <c r="BJ113" s="19">
        <v>0.45904392253301635</v>
      </c>
      <c r="BK113" s="19">
        <v>50.718956507214081</v>
      </c>
      <c r="BL113" s="19">
        <v>26.663327803422028</v>
      </c>
      <c r="BM113" s="2">
        <v>0.48400134618442492</v>
      </c>
      <c r="BN113" s="19">
        <v>57.300485152687948</v>
      </c>
      <c r="BO113" s="19">
        <v>-52.844347624940539</v>
      </c>
      <c r="BP113" s="19">
        <v>21.939011362213204</v>
      </c>
      <c r="BQ113" s="19">
        <v>3.0822561990419146</v>
      </c>
      <c r="BR113" s="2">
        <v>157.45358937738729</v>
      </c>
      <c r="BS113" s="2">
        <v>57.217526121433096</v>
      </c>
      <c r="BT113" s="2">
        <v>3.08349130312391</v>
      </c>
      <c r="BU113" s="2">
        <v>10.156604802413565</v>
      </c>
      <c r="BV113" s="2">
        <v>21.550343498547452</v>
      </c>
      <c r="BW113" s="2">
        <v>11.393738696133887</v>
      </c>
      <c r="BX113" s="19">
        <v>25.726744734326054</v>
      </c>
      <c r="BY113" s="2">
        <v>-0.45065710666410802</v>
      </c>
      <c r="BZ113" s="19">
        <v>-0.92099124598686122</v>
      </c>
      <c r="CA113" s="19">
        <v>-0.75778924785608459</v>
      </c>
      <c r="CB113" s="19">
        <v>-0.7534738087202234</v>
      </c>
      <c r="CC113" s="19">
        <v>-0.8099259579948106</v>
      </c>
      <c r="CD113" s="19">
        <v>-0.8598972749743452</v>
      </c>
      <c r="CE113" s="19">
        <v>-0.90389663129365805</v>
      </c>
      <c r="CF113" s="19">
        <v>-0.86298468235044667</v>
      </c>
      <c r="CG113" s="19">
        <v>-0.83072258343019556</v>
      </c>
      <c r="CH113" s="19">
        <v>-0.81231637073015517</v>
      </c>
      <c r="CI113" s="19">
        <v>-0.80659026989119098</v>
      </c>
      <c r="CJ113" s="19">
        <v>-0.81666580864828942</v>
      </c>
      <c r="CK113" s="2">
        <v>2.733830046469202</v>
      </c>
      <c r="CL113" s="19">
        <v>-3.476396105219634E-2</v>
      </c>
      <c r="CM113" s="19">
        <v>-7.9679117799261207E-2</v>
      </c>
      <c r="CN113" s="19">
        <v>-6.9082750878554866E-2</v>
      </c>
      <c r="CO113" s="19">
        <v>-0.10154684792086616</v>
      </c>
      <c r="CP113" s="19">
        <v>-8.4644536196099462E-2</v>
      </c>
      <c r="CQ113" s="2">
        <v>5.233974984567729E-2</v>
      </c>
      <c r="CR113" s="19">
        <v>57.842985870734381</v>
      </c>
      <c r="CS113" s="19">
        <v>58.164680225510594</v>
      </c>
      <c r="CT113" s="19">
        <v>-53.322658920298991</v>
      </c>
      <c r="CU113" s="19">
        <v>23.033988316009438</v>
      </c>
      <c r="CV113" s="19">
        <v>3.0429350409271363</v>
      </c>
      <c r="CW113" s="15">
        <v>-53.322658920298991</v>
      </c>
      <c r="CX113" s="15">
        <v>19.923370756482427</v>
      </c>
      <c r="CY113" s="21">
        <v>11.953383165660773</v>
      </c>
      <c r="CZ113" s="15">
        <v>159.51240209395121</v>
      </c>
      <c r="DA113" s="15">
        <v>56.92316449944434</v>
      </c>
      <c r="DB113" s="15">
        <v>11.859315055129526</v>
      </c>
      <c r="DC113" s="15">
        <v>139.45596920793821</v>
      </c>
      <c r="DD113" s="15">
        <v>0.86747506238407979</v>
      </c>
      <c r="DE113" s="15">
        <v>3.2281217241635421E-2</v>
      </c>
      <c r="DF113" s="15">
        <v>5.0039149448397247</v>
      </c>
      <c r="DG113" s="15">
        <v>1.5236879999999999</v>
      </c>
      <c r="DH113" s="15">
        <v>9.3422314392444528E-2</v>
      </c>
      <c r="DI113" s="15">
        <v>0.43219970307810485</v>
      </c>
      <c r="DJ113" s="21">
        <v>0.47465105347217412</v>
      </c>
      <c r="DK113" s="21">
        <v>1.2129012668361114</v>
      </c>
      <c r="DL113" s="21">
        <v>0.69332272108045756</v>
      </c>
      <c r="DM113" s="15">
        <v>0.51929295719578072</v>
      </c>
      <c r="DN113" s="21">
        <v>1.3970776208425406</v>
      </c>
      <c r="DO113" s="21">
        <v>1.3886308125338227</v>
      </c>
      <c r="DP113" s="21">
        <v>0.15021779632886414</v>
      </c>
      <c r="DQ113" s="21">
        <v>-3.1063786099065929E-2</v>
      </c>
      <c r="DR113" s="15">
        <v>6.1741425920029087</v>
      </c>
      <c r="DS113" s="15">
        <v>1.3967322291163202</v>
      </c>
      <c r="DT113" s="15">
        <v>-1.2740670232677624</v>
      </c>
      <c r="DU113" s="21">
        <v>7.0767072275136609E-5</v>
      </c>
      <c r="DV113" s="21">
        <v>1.3886306269959974</v>
      </c>
      <c r="DW113" s="21">
        <v>0.15021951145223528</v>
      </c>
      <c r="DX113" s="21">
        <v>-3.1063786099065929E-2</v>
      </c>
      <c r="DY113" s="10">
        <v>-0.7574552345366049</v>
      </c>
      <c r="DZ113" s="10">
        <v>-0.64088517393725541</v>
      </c>
      <c r="EA113" s="10">
        <v>0.63117539245939247</v>
      </c>
      <c r="EB113" s="15">
        <v>-0.49066566248502014</v>
      </c>
      <c r="EC113" s="15">
        <v>-3.1063786099065929E-2</v>
      </c>
      <c r="ED113" s="15">
        <v>0.63117539245939247</v>
      </c>
      <c r="EE113" s="21">
        <v>-0.43783001427680712</v>
      </c>
      <c r="EF113" s="15">
        <v>-0.22365739367846327</v>
      </c>
      <c r="EG113" s="15">
        <v>-34.748042832446473</v>
      </c>
      <c r="EH113" s="15">
        <v>0.76816501967213868</v>
      </c>
      <c r="EI113" s="15">
        <v>-16.233341707314061</v>
      </c>
      <c r="EJ113" s="15">
        <v>333.71641413433588</v>
      </c>
      <c r="EK113" s="19">
        <v>1.3412784822690142</v>
      </c>
      <c r="EL113" s="19">
        <v>5.9250249773809147E-2</v>
      </c>
      <c r="EM113" s="19">
        <v>0.95969067000583308</v>
      </c>
      <c r="EN113" s="19">
        <v>0.72333000000000003</v>
      </c>
      <c r="EO113" s="2">
        <v>6.7640400083613808E-3</v>
      </c>
      <c r="EP113" s="19">
        <v>4.7718559808005949</v>
      </c>
      <c r="EQ113" s="19">
        <v>4.765101182848567</v>
      </c>
      <c r="ER113" s="19">
        <v>3.3218029728749765E-2</v>
      </c>
      <c r="ES113" s="19">
        <v>-0.72230879468215758</v>
      </c>
      <c r="ET113" s="2">
        <v>4.7583452824393957</v>
      </c>
      <c r="EU113" s="19">
        <v>0.7230722179521567</v>
      </c>
      <c r="EV113" s="19">
        <v>0.5153447010598855</v>
      </c>
      <c r="EW113" s="19">
        <v>0.5066828092641158</v>
      </c>
      <c r="EX113" s="19">
        <v>-2.2930378539659929E-2</v>
      </c>
      <c r="EY113" s="2">
        <v>44.51448896490578</v>
      </c>
      <c r="EZ113" s="2">
        <v>0.72270853745772168</v>
      </c>
      <c r="FA113" s="2">
        <v>-1.8172932003470941</v>
      </c>
      <c r="FB113" s="19">
        <v>7.0767072275136609E-5</v>
      </c>
      <c r="FC113" s="19">
        <v>0.51534407524622505</v>
      </c>
      <c r="FD113" s="19">
        <v>0.50668344577545876</v>
      </c>
      <c r="FE113" s="19">
        <v>-2.2930378539659929E-2</v>
      </c>
      <c r="FF113" s="13">
        <v>-0.7574552345366049</v>
      </c>
      <c r="FG113" s="13">
        <v>-0.64088517393725541</v>
      </c>
      <c r="FH113" s="13">
        <v>-0.24211115929037985</v>
      </c>
      <c r="FI113" s="2">
        <v>-0.13420172816179665</v>
      </c>
      <c r="FJ113" s="2">
        <v>-2.2930378539659929E-2</v>
      </c>
      <c r="FK113" s="2">
        <v>-0.24211115929037985</v>
      </c>
      <c r="FL113" s="19">
        <v>-0.11400966998941058</v>
      </c>
      <c r="FM113" s="2">
        <v>-7.4415732546891961E-2</v>
      </c>
      <c r="FN113" s="23">
        <v>205.21565411749572</v>
      </c>
      <c r="FO113" s="2">
        <v>0.267611693137699</v>
      </c>
      <c r="FP113" s="23">
        <v>-15.539842167998312</v>
      </c>
      <c r="FQ113" s="2">
        <v>93.752717184393703</v>
      </c>
      <c r="FR113" s="19">
        <v>1.7565817911949559</v>
      </c>
      <c r="FS113" s="19">
        <v>2.2722939249507221E-2</v>
      </c>
      <c r="FT113" s="19">
        <v>4.7820434587809553</v>
      </c>
      <c r="FU113" s="19">
        <v>5.2025600000000001</v>
      </c>
      <c r="FV113" s="19">
        <v>4.852875437990245E-2</v>
      </c>
      <c r="FW113" s="19">
        <v>4.0433043330381295</v>
      </c>
      <c r="FX113" s="19">
        <v>4.0063846775819254</v>
      </c>
      <c r="FY113" s="19">
        <v>-3.6278863145697278</v>
      </c>
      <c r="FZ113" s="19">
        <v>-3.9542773744586439</v>
      </c>
      <c r="GA113" s="2">
        <v>3.9700114756524956</v>
      </c>
      <c r="GB113" s="19">
        <v>5.3663645669669018</v>
      </c>
      <c r="GC113" s="19">
        <v>-2.5101894881939413</v>
      </c>
      <c r="GD113" s="19">
        <v>-4.7424724579210382</v>
      </c>
      <c r="GE113" s="19">
        <v>7.5976212190996997E-2</v>
      </c>
      <c r="GF113" s="19">
        <v>242.10781290586857</v>
      </c>
      <c r="GG113" s="19">
        <v>8.6817090171806867E-3</v>
      </c>
      <c r="GH113" s="2">
        <v>242.11649461488574</v>
      </c>
      <c r="GI113" s="2">
        <v>5.3658267099095713</v>
      </c>
      <c r="GJ113" s="2">
        <v>0.81121244883051757</v>
      </c>
      <c r="GK113" s="19">
        <v>7.0767072275136609E-5</v>
      </c>
      <c r="GL113" s="19">
        <v>-2.5094650010663342</v>
      </c>
      <c r="GM113" s="19">
        <v>-4.7428558579406692</v>
      </c>
      <c r="GN113" s="19">
        <v>7.5976212190996997E-2</v>
      </c>
      <c r="GO113" s="13">
        <v>-0.7574552345366049</v>
      </c>
      <c r="GP113" s="13">
        <v>-0.64088517393725541</v>
      </c>
      <c r="GQ113" s="13">
        <v>-3.2669202356029392</v>
      </c>
      <c r="GR113" s="2">
        <v>-5.3837410318779249</v>
      </c>
      <c r="GS113" s="2">
        <v>7.5976212190996997E-2</v>
      </c>
      <c r="GT113" s="2">
        <v>-3.2669202356029392</v>
      </c>
      <c r="GU113" s="19">
        <v>-4.9697957428941359</v>
      </c>
      <c r="GV113" s="2">
        <v>-2.0716105225298</v>
      </c>
      <c r="GW113" s="23">
        <v>236.68087973411195</v>
      </c>
      <c r="GX113" s="2">
        <v>5.9474059514952096</v>
      </c>
      <c r="GY113" s="23">
        <v>-19.204335696103762</v>
      </c>
      <c r="GZ113" s="2">
        <v>62.287491567777465</v>
      </c>
      <c r="HA113" s="19">
        <v>1.9866709235603759</v>
      </c>
      <c r="HB113" s="19">
        <v>4.3421280028970839E-2</v>
      </c>
      <c r="HC113" s="19">
        <v>5.9271161798191034</v>
      </c>
      <c r="HD113" s="19">
        <v>9.5547500000000003</v>
      </c>
      <c r="HE113" s="19">
        <v>5.5480630598636518E-2</v>
      </c>
      <c r="HF113" s="2">
        <v>3.2658708073461504</v>
      </c>
      <c r="HG113" s="19">
        <v>3.259372126202233</v>
      </c>
      <c r="HH113" s="19">
        <v>-10.018658364064729</v>
      </c>
      <c r="HI113" s="19">
        <v>-1.1210240964878573</v>
      </c>
      <c r="HJ113" s="2">
        <v>3.2530227885803127</v>
      </c>
      <c r="HK113" s="19">
        <v>10.081181004264856</v>
      </c>
      <c r="HL113" s="19">
        <v>1.7199386603683435</v>
      </c>
      <c r="HM113" s="19">
        <v>-9.9328136841382353</v>
      </c>
      <c r="HN113" s="19">
        <v>0.10598944059269852</v>
      </c>
      <c r="HO113" s="19">
        <v>-80.176160353469825</v>
      </c>
      <c r="HP113" s="19">
        <v>-0.13091016035551639</v>
      </c>
      <c r="HQ113" s="2">
        <v>-80.307070513825337</v>
      </c>
      <c r="HR113" s="2">
        <v>10.080623823912559</v>
      </c>
      <c r="HS113" s="2">
        <v>0.60239564171723503</v>
      </c>
      <c r="HT113" s="2">
        <v>-2.2778896350135166E-3</v>
      </c>
      <c r="HU113" s="2">
        <v>0.60011775208222151</v>
      </c>
      <c r="HV113" s="19">
        <v>7.0767072275136609E-5</v>
      </c>
      <c r="HW113" s="19">
        <v>1.6972525468666917</v>
      </c>
      <c r="HX113" s="19">
        <v>-9.9367195424850205</v>
      </c>
      <c r="HY113" s="19">
        <v>0.10558866843266639</v>
      </c>
      <c r="HZ113" s="13">
        <v>-0.7574552345366049</v>
      </c>
      <c r="IA113" s="13">
        <v>-0.64088517393725541</v>
      </c>
      <c r="IB113" s="13">
        <v>0.93979731233008679</v>
      </c>
      <c r="IC113" s="2">
        <v>-10.577604716422275</v>
      </c>
      <c r="ID113" s="2">
        <v>0.10558866843266639</v>
      </c>
      <c r="IE113" s="2">
        <v>0.93979731233008679</v>
      </c>
      <c r="IF113" s="19">
        <v>-9.7469385764000904</v>
      </c>
      <c r="IG113" s="2">
        <v>-4.1102383010798667</v>
      </c>
      <c r="IH113" s="23">
        <v>-84.492580623602848</v>
      </c>
      <c r="II113" s="2">
        <v>9.7921412673826893</v>
      </c>
      <c r="IJ113" s="23">
        <v>-22.770163909237993</v>
      </c>
      <c r="IK113" s="2">
        <v>23.460951925492282</v>
      </c>
    </row>
    <row r="114" spans="1:245" ht="15" hidden="1">
      <c r="A114" s="85"/>
      <c r="B114" s="205" t="s">
        <v>165</v>
      </c>
      <c r="C114" s="85">
        <v>16.489444444444445</v>
      </c>
      <c r="D114" s="85">
        <v>-26.428333333333335</v>
      </c>
      <c r="E114" s="206">
        <v>112.43166200045903</v>
      </c>
      <c r="F114" s="206">
        <v>-26.468749345274766</v>
      </c>
      <c r="G114" s="206">
        <v>4.3466670024588936</v>
      </c>
      <c r="H114" s="206">
        <v>-8.3684065664796563</v>
      </c>
      <c r="I114" s="85">
        <v>112.43195882386449</v>
      </c>
      <c r="J114" s="85">
        <v>-26.469594175591034</v>
      </c>
      <c r="K114" s="85">
        <v>6879.4770088962778</v>
      </c>
      <c r="L114" s="206">
        <v>327.07778369868174</v>
      </c>
      <c r="M114" s="85">
        <v>0.18834981543863868</v>
      </c>
      <c r="N114" s="201">
        <v>120.7503122074713</v>
      </c>
      <c r="O114" s="201">
        <v>221.20484747891715</v>
      </c>
      <c r="P114" s="201">
        <v>145.03311939966807</v>
      </c>
      <c r="Q114" s="201">
        <v>23.436848842341728</v>
      </c>
      <c r="R114" s="201">
        <v>-13.504793852410881</v>
      </c>
      <c r="S114" s="201">
        <v>-4.5513948810523717</v>
      </c>
      <c r="T114" s="201">
        <v>18.885453961289357</v>
      </c>
      <c r="U114" s="15">
        <v>-3.5493883033264986E-3</v>
      </c>
      <c r="V114" s="15">
        <v>32.925765689621585</v>
      </c>
      <c r="W114" s="15">
        <v>221.1996271783928</v>
      </c>
      <c r="X114" s="15">
        <v>297.94242346632655</v>
      </c>
      <c r="Y114" s="15">
        <v>-1.7083054705091836</v>
      </c>
      <c r="Z114" s="15">
        <v>219.49132170788363</v>
      </c>
      <c r="AA114" s="15">
        <v>4.108971536705992</v>
      </c>
      <c r="AB114" s="15">
        <v>23.436848842341728</v>
      </c>
      <c r="AC114" s="15">
        <v>-14.651911278076415</v>
      </c>
      <c r="AD114" s="15">
        <v>-0.58349390325367223</v>
      </c>
      <c r="AE114" s="15">
        <v>-0.77172091797810582</v>
      </c>
      <c r="AF114" s="15">
        <v>217.09272389660805</v>
      </c>
      <c r="AG114" s="15">
        <v>-147.07778369868174</v>
      </c>
      <c r="AH114" s="15">
        <v>175.82949240471021</v>
      </c>
      <c r="AI114" s="15"/>
      <c r="AJ114" s="21"/>
      <c r="AK114" s="21"/>
      <c r="AL114" s="15"/>
      <c r="AM114" s="21"/>
      <c r="AN114" s="21"/>
      <c r="AO114" s="21"/>
      <c r="AP114" s="21"/>
      <c r="AQ114" s="21"/>
      <c r="AR114" s="21"/>
      <c r="AS114" s="15"/>
      <c r="AT114" s="21"/>
      <c r="AU114" s="22"/>
      <c r="AV114" s="21"/>
      <c r="AW114" s="15"/>
      <c r="AX114" s="21"/>
      <c r="AY114" s="15"/>
      <c r="AZ114" s="15"/>
      <c r="BA114" s="15"/>
      <c r="BB114" s="15"/>
      <c r="BC114" s="15"/>
      <c r="BD114" s="19"/>
      <c r="BE114" s="2"/>
      <c r="BF114" s="19"/>
      <c r="BG114" s="2"/>
      <c r="BH114" s="19"/>
      <c r="BI114" s="19"/>
      <c r="BJ114" s="19"/>
      <c r="BK114" s="19"/>
      <c r="BL114" s="19"/>
      <c r="BM114" s="2"/>
      <c r="BN114" s="19"/>
      <c r="BO114" s="19"/>
      <c r="BP114" s="19"/>
      <c r="BQ114" s="19"/>
      <c r="BR114" s="2"/>
      <c r="BS114" s="2"/>
      <c r="BT114" s="2"/>
      <c r="BU114" s="2"/>
      <c r="BV114" s="2"/>
      <c r="BW114" s="2"/>
      <c r="BX114" s="19"/>
      <c r="BY114" s="2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2"/>
      <c r="CL114" s="19"/>
      <c r="CM114" s="19"/>
      <c r="CN114" s="19"/>
      <c r="CO114" s="19"/>
      <c r="CP114" s="19"/>
      <c r="CQ114" s="2"/>
      <c r="CR114" s="19"/>
      <c r="CS114" s="19"/>
      <c r="CT114" s="19"/>
      <c r="CU114" s="19"/>
      <c r="CV114" s="19"/>
      <c r="CW114" s="15"/>
      <c r="CX114" s="15"/>
      <c r="CY114" s="21"/>
      <c r="CZ114" s="15"/>
      <c r="DA114" s="15"/>
      <c r="DB114" s="15"/>
      <c r="DC114" s="15"/>
      <c r="DD114" s="15"/>
      <c r="DE114" s="15"/>
      <c r="DF114" s="15"/>
      <c r="DG114" s="15"/>
      <c r="DH114" s="15"/>
      <c r="DI114" s="15"/>
      <c r="DJ114" s="21"/>
      <c r="DK114" s="21"/>
      <c r="DL114" s="21"/>
      <c r="DM114" s="15"/>
      <c r="DN114" s="21"/>
      <c r="DO114" s="21"/>
      <c r="DP114" s="21"/>
      <c r="DQ114" s="21"/>
      <c r="DR114" s="15"/>
      <c r="DS114" s="15"/>
      <c r="DT114" s="15"/>
      <c r="DU114" s="21"/>
      <c r="DV114" s="21"/>
      <c r="DW114" s="21"/>
      <c r="DX114" s="21"/>
      <c r="DY114" s="10"/>
      <c r="DZ114" s="10"/>
      <c r="EA114" s="10"/>
      <c r="EB114" s="15"/>
      <c r="EC114" s="15"/>
      <c r="ED114" s="15"/>
      <c r="EE114" s="21"/>
      <c r="EF114" s="15"/>
      <c r="EG114" s="15"/>
      <c r="EH114" s="15"/>
      <c r="EI114" s="15"/>
      <c r="EJ114" s="15"/>
      <c r="EK114" s="19"/>
      <c r="EL114" s="19"/>
      <c r="EM114" s="19"/>
      <c r="EN114" s="19"/>
      <c r="EO114" s="2"/>
      <c r="EP114" s="19"/>
      <c r="EQ114" s="19"/>
      <c r="ER114" s="19"/>
      <c r="ES114" s="19"/>
      <c r="ET114" s="2"/>
      <c r="EU114" s="19"/>
      <c r="EV114" s="19"/>
      <c r="EW114" s="19"/>
      <c r="EX114" s="19"/>
      <c r="EY114" s="2"/>
      <c r="EZ114" s="2"/>
      <c r="FA114" s="2"/>
      <c r="FB114" s="19"/>
      <c r="FC114" s="19"/>
      <c r="FD114" s="19"/>
      <c r="FE114" s="19"/>
      <c r="FF114" s="13"/>
      <c r="FG114" s="13"/>
      <c r="FH114" s="13"/>
      <c r="FI114" s="2"/>
      <c r="FJ114" s="2"/>
      <c r="FK114" s="2"/>
      <c r="FL114" s="19"/>
      <c r="FM114" s="2"/>
      <c r="FN114" s="23"/>
      <c r="FO114" s="2"/>
      <c r="FP114" s="23"/>
      <c r="FQ114" s="2"/>
      <c r="FR114" s="19"/>
      <c r="FS114" s="19"/>
      <c r="FT114" s="19"/>
      <c r="FU114" s="19"/>
      <c r="FV114" s="19"/>
      <c r="FW114" s="19"/>
      <c r="FX114" s="19"/>
      <c r="FY114" s="19"/>
      <c r="FZ114" s="19"/>
      <c r="GA114" s="2"/>
      <c r="GB114" s="19"/>
      <c r="GC114" s="19"/>
      <c r="GD114" s="19"/>
      <c r="GE114" s="19"/>
      <c r="GF114" s="19"/>
      <c r="GG114" s="19"/>
      <c r="GH114" s="2"/>
      <c r="GI114" s="2"/>
      <c r="GJ114" s="2"/>
      <c r="GK114" s="19"/>
      <c r="GL114" s="19"/>
      <c r="GM114" s="19"/>
      <c r="GN114" s="19"/>
      <c r="GO114" s="13"/>
      <c r="GP114" s="13"/>
      <c r="GQ114" s="13"/>
      <c r="GR114" s="2"/>
      <c r="GS114" s="2"/>
      <c r="GT114" s="2"/>
      <c r="GU114" s="19"/>
      <c r="GV114" s="2"/>
      <c r="GW114" s="23"/>
      <c r="GX114" s="2"/>
      <c r="GY114" s="23"/>
      <c r="GZ114" s="2"/>
      <c r="HA114" s="19"/>
      <c r="HB114" s="19"/>
      <c r="HC114" s="19"/>
      <c r="HD114" s="19"/>
      <c r="HE114" s="19"/>
      <c r="HF114" s="2"/>
      <c r="HG114" s="19"/>
      <c r="HH114" s="19"/>
      <c r="HI114" s="19"/>
      <c r="HJ114" s="2"/>
      <c r="HK114" s="19"/>
      <c r="HL114" s="19"/>
      <c r="HM114" s="19"/>
      <c r="HN114" s="19"/>
      <c r="HO114" s="19"/>
      <c r="HP114" s="19"/>
      <c r="HQ114" s="2"/>
      <c r="HR114" s="2"/>
      <c r="HS114" s="2"/>
      <c r="HT114" s="2"/>
      <c r="HU114" s="2"/>
      <c r="HV114" s="19"/>
      <c r="HW114" s="19"/>
      <c r="HX114" s="19"/>
      <c r="HY114" s="19"/>
      <c r="HZ114" s="13"/>
      <c r="IA114" s="13"/>
      <c r="IB114" s="13"/>
      <c r="IC114" s="2"/>
      <c r="ID114" s="2"/>
      <c r="IE114" s="2"/>
      <c r="IF114" s="19"/>
      <c r="IG114" s="2"/>
      <c r="IH114" s="23"/>
      <c r="II114" s="2"/>
      <c r="IJ114" s="23"/>
      <c r="IK114" s="2"/>
    </row>
    <row r="115" spans="1:245" ht="15" hidden="1">
      <c r="A115" s="85"/>
      <c r="B115" s="205" t="s">
        <v>166</v>
      </c>
      <c r="C115" s="85">
        <v>14.260833333333334</v>
      </c>
      <c r="D115" s="85">
        <v>19.186666666666667</v>
      </c>
      <c r="E115" s="206">
        <v>145.83703523004911</v>
      </c>
      <c r="F115" s="206">
        <v>19.099600685485196</v>
      </c>
      <c r="G115" s="206">
        <v>4.3466670024588936</v>
      </c>
      <c r="H115" s="206">
        <v>-8.3684065664796563</v>
      </c>
      <c r="I115" s="85">
        <v>145.83708149635112</v>
      </c>
      <c r="J115" s="85">
        <v>19.098629460033152</v>
      </c>
      <c r="K115" s="85">
        <v>6879.4785825825775</v>
      </c>
      <c r="L115" s="206">
        <v>326.50970553094521</v>
      </c>
      <c r="M115" s="85">
        <v>0.18834985852382141</v>
      </c>
      <c r="N115" s="201">
        <v>120.75022887485707</v>
      </c>
      <c r="O115" s="201">
        <v>221.20639857866263</v>
      </c>
      <c r="P115" s="201">
        <v>145.05385491428024</v>
      </c>
      <c r="Q115" s="201">
        <v>23.436848841781025</v>
      </c>
      <c r="R115" s="201">
        <v>-13.504740320846008</v>
      </c>
      <c r="S115" s="201">
        <v>-4.5513457652037337</v>
      </c>
      <c r="T115" s="201">
        <v>18.88550307657729</v>
      </c>
      <c r="U115" s="15">
        <v>-3.5493731930736085E-3</v>
      </c>
      <c r="V115" s="15">
        <v>33.493843842247863</v>
      </c>
      <c r="W115" s="15">
        <v>221.20117827820286</v>
      </c>
      <c r="X115" s="15">
        <v>297.94397449197368</v>
      </c>
      <c r="Y115" s="15">
        <v>-1.7082817857687387</v>
      </c>
      <c r="Z115" s="15">
        <v>219.49289649243411</v>
      </c>
      <c r="AA115" s="15">
        <v>4.1089791554546204</v>
      </c>
      <c r="AB115" s="15">
        <v>23.436848841781025</v>
      </c>
      <c r="AC115" s="15">
        <v>-14.652410888700931</v>
      </c>
      <c r="AD115" s="15">
        <v>-0.58351336400169984</v>
      </c>
      <c r="AE115" s="15">
        <v>-0.77170343817765452</v>
      </c>
      <c r="AF115" s="15">
        <v>217.09426752739404</v>
      </c>
      <c r="AG115" s="15">
        <v>-146.50970553094521</v>
      </c>
      <c r="AH115" s="15">
        <v>176.39602694166075</v>
      </c>
      <c r="AI115" s="15"/>
      <c r="AJ115" s="21"/>
      <c r="AK115" s="21"/>
      <c r="AL115" s="15"/>
      <c r="AM115" s="21"/>
      <c r="AN115" s="21"/>
      <c r="AO115" s="21"/>
      <c r="AP115" s="21"/>
      <c r="AQ115" s="21"/>
      <c r="AR115" s="21"/>
      <c r="AS115" s="15"/>
      <c r="AT115" s="21"/>
      <c r="AU115" s="22"/>
      <c r="AV115" s="21"/>
      <c r="AW115" s="15"/>
      <c r="AX115" s="21"/>
      <c r="AY115" s="15"/>
      <c r="AZ115" s="15"/>
      <c r="BA115" s="15"/>
      <c r="BB115" s="15"/>
      <c r="BC115" s="15"/>
      <c r="BD115" s="19"/>
      <c r="BE115" s="2"/>
      <c r="BF115" s="19"/>
      <c r="BG115" s="2"/>
      <c r="BH115" s="19"/>
      <c r="BI115" s="19"/>
      <c r="BJ115" s="19"/>
      <c r="BK115" s="19"/>
      <c r="BL115" s="19"/>
      <c r="BM115" s="2"/>
      <c r="BN115" s="19"/>
      <c r="BO115" s="19"/>
      <c r="BP115" s="19"/>
      <c r="BQ115" s="19"/>
      <c r="BR115" s="2"/>
      <c r="BS115" s="2"/>
      <c r="BT115" s="2"/>
      <c r="BU115" s="2"/>
      <c r="BV115" s="2"/>
      <c r="BW115" s="2"/>
      <c r="BX115" s="19"/>
      <c r="BY115" s="2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2"/>
      <c r="CL115" s="19"/>
      <c r="CM115" s="19"/>
      <c r="CN115" s="19"/>
      <c r="CO115" s="19"/>
      <c r="CP115" s="19"/>
      <c r="CQ115" s="2"/>
      <c r="CR115" s="19"/>
      <c r="CS115" s="19"/>
      <c r="CT115" s="19"/>
      <c r="CU115" s="19"/>
      <c r="CV115" s="19"/>
      <c r="CW115" s="15"/>
      <c r="CX115" s="15"/>
      <c r="CY115" s="21"/>
      <c r="CZ115" s="15"/>
      <c r="DA115" s="15"/>
      <c r="DB115" s="15"/>
      <c r="DC115" s="15"/>
      <c r="DD115" s="15"/>
      <c r="DE115" s="15"/>
      <c r="DF115" s="15"/>
      <c r="DG115" s="15"/>
      <c r="DH115" s="15"/>
      <c r="DI115" s="15"/>
      <c r="DJ115" s="21"/>
      <c r="DK115" s="21"/>
      <c r="DL115" s="21"/>
      <c r="DM115" s="15"/>
      <c r="DN115" s="21"/>
      <c r="DO115" s="21"/>
      <c r="DP115" s="21"/>
      <c r="DQ115" s="21"/>
      <c r="DR115" s="15"/>
      <c r="DS115" s="15"/>
      <c r="DT115" s="15"/>
      <c r="DU115" s="21"/>
      <c r="DV115" s="21"/>
      <c r="DW115" s="21"/>
      <c r="DX115" s="21"/>
      <c r="DY115" s="10"/>
      <c r="DZ115" s="10"/>
      <c r="EA115" s="10"/>
      <c r="EB115" s="15"/>
      <c r="EC115" s="15"/>
      <c r="ED115" s="15"/>
      <c r="EE115" s="21"/>
      <c r="EF115" s="15"/>
      <c r="EG115" s="15"/>
      <c r="EH115" s="15"/>
      <c r="EI115" s="15"/>
      <c r="EJ115" s="15"/>
      <c r="EK115" s="19"/>
      <c r="EL115" s="19"/>
      <c r="EM115" s="19"/>
      <c r="EN115" s="19"/>
      <c r="EO115" s="2"/>
      <c r="EP115" s="19"/>
      <c r="EQ115" s="19"/>
      <c r="ER115" s="19"/>
      <c r="ES115" s="19"/>
      <c r="ET115" s="2"/>
      <c r="EU115" s="19"/>
      <c r="EV115" s="19"/>
      <c r="EW115" s="19"/>
      <c r="EX115" s="19"/>
      <c r="EY115" s="2"/>
      <c r="EZ115" s="2"/>
      <c r="FA115" s="2"/>
      <c r="FB115" s="19"/>
      <c r="FC115" s="19"/>
      <c r="FD115" s="19"/>
      <c r="FE115" s="19"/>
      <c r="FF115" s="13"/>
      <c r="FG115" s="13"/>
      <c r="FH115" s="13"/>
      <c r="FI115" s="2"/>
      <c r="FJ115" s="2"/>
      <c r="FK115" s="2"/>
      <c r="FL115" s="19"/>
      <c r="FM115" s="2"/>
      <c r="FN115" s="23"/>
      <c r="FO115" s="2"/>
      <c r="FP115" s="23"/>
      <c r="FQ115" s="2"/>
      <c r="FR115" s="19"/>
      <c r="FS115" s="19"/>
      <c r="FT115" s="19"/>
      <c r="FU115" s="19"/>
      <c r="FV115" s="19"/>
      <c r="FW115" s="19"/>
      <c r="FX115" s="19"/>
      <c r="FY115" s="19"/>
      <c r="FZ115" s="19"/>
      <c r="GA115" s="2"/>
      <c r="GB115" s="19"/>
      <c r="GC115" s="19"/>
      <c r="GD115" s="19"/>
      <c r="GE115" s="19"/>
      <c r="GF115" s="19"/>
      <c r="GG115" s="19"/>
      <c r="GH115" s="2"/>
      <c r="GI115" s="2"/>
      <c r="GJ115" s="2"/>
      <c r="GK115" s="19"/>
      <c r="GL115" s="19"/>
      <c r="GM115" s="19"/>
      <c r="GN115" s="19"/>
      <c r="GO115" s="13"/>
      <c r="GP115" s="13"/>
      <c r="GQ115" s="13"/>
      <c r="GR115" s="2"/>
      <c r="GS115" s="2"/>
      <c r="GT115" s="2"/>
      <c r="GU115" s="19"/>
      <c r="GV115" s="2"/>
      <c r="GW115" s="23"/>
      <c r="GX115" s="2"/>
      <c r="GY115" s="23"/>
      <c r="GZ115" s="2"/>
      <c r="HA115" s="19"/>
      <c r="HB115" s="19"/>
      <c r="HC115" s="19"/>
      <c r="HD115" s="19"/>
      <c r="HE115" s="19"/>
      <c r="HF115" s="2"/>
      <c r="HG115" s="19"/>
      <c r="HH115" s="19"/>
      <c r="HI115" s="19"/>
      <c r="HJ115" s="2"/>
      <c r="HK115" s="19"/>
      <c r="HL115" s="19"/>
      <c r="HM115" s="19"/>
      <c r="HN115" s="19"/>
      <c r="HO115" s="19"/>
      <c r="HP115" s="19"/>
      <c r="HQ115" s="2"/>
      <c r="HR115" s="2"/>
      <c r="HS115" s="2"/>
      <c r="HT115" s="2"/>
      <c r="HU115" s="2"/>
      <c r="HV115" s="19"/>
      <c r="HW115" s="19"/>
      <c r="HX115" s="19"/>
      <c r="HY115" s="19"/>
      <c r="HZ115" s="13"/>
      <c r="IA115" s="13"/>
      <c r="IB115" s="13"/>
      <c r="IC115" s="2"/>
      <c r="ID115" s="2"/>
      <c r="IE115" s="2"/>
      <c r="IF115" s="19"/>
      <c r="IG115" s="2"/>
      <c r="IH115" s="23"/>
      <c r="II115" s="2"/>
      <c r="IJ115" s="23"/>
      <c r="IK115" s="2"/>
    </row>
    <row r="116" spans="1:245" ht="15" hidden="1">
      <c r="A116" s="85"/>
      <c r="B116" s="205" t="s">
        <v>167</v>
      </c>
      <c r="C116" s="85">
        <v>16.809722222222224</v>
      </c>
      <c r="D116" s="85">
        <v>-69.023333333333326</v>
      </c>
      <c r="E116" s="206">
        <v>107.69182994534458</v>
      </c>
      <c r="F116" s="206">
        <v>-69.055499044103968</v>
      </c>
      <c r="G116" s="206">
        <v>4.3466670024588936</v>
      </c>
      <c r="H116" s="206">
        <v>-8.3684065664796563</v>
      </c>
      <c r="I116" s="85">
        <v>107.69436911706921</v>
      </c>
      <c r="J116" s="85">
        <v>-69.056318552475147</v>
      </c>
      <c r="K116" s="85">
        <v>6879.4786113871041</v>
      </c>
      <c r="L116" s="206">
        <v>326.49930751044303</v>
      </c>
      <c r="M116" s="85">
        <v>0.18834985931244638</v>
      </c>
      <c r="N116" s="201">
        <v>120.75022734954891</v>
      </c>
      <c r="O116" s="201">
        <v>221.20642696976938</v>
      </c>
      <c r="P116" s="201">
        <v>145.05423445414635</v>
      </c>
      <c r="Q116" s="201">
        <v>23.436848841770761</v>
      </c>
      <c r="R116" s="201">
        <v>-13.504739339992838</v>
      </c>
      <c r="S116" s="201">
        <v>-4.5513448663640572</v>
      </c>
      <c r="T116" s="201">
        <v>18.885503975406703</v>
      </c>
      <c r="U116" s="15">
        <v>-3.5493729162335169E-3</v>
      </c>
      <c r="V116" s="15">
        <v>33.504241862473201</v>
      </c>
      <c r="W116" s="15">
        <v>221.20120666930961</v>
      </c>
      <c r="X116" s="15">
        <v>297.94400288172346</v>
      </c>
      <c r="Y116" s="15">
        <v>-1.7082813522346585</v>
      </c>
      <c r="Z116" s="15">
        <v>219.49292531707496</v>
      </c>
      <c r="AA116" s="15">
        <v>4.1089792948293935</v>
      </c>
      <c r="AB116" s="15">
        <v>23.436848841770761</v>
      </c>
      <c r="AC116" s="15">
        <v>-14.652420033410563</v>
      </c>
      <c r="AD116" s="15">
        <v>-0.5835137202044598</v>
      </c>
      <c r="AE116" s="15">
        <v>-0.77170311822434678</v>
      </c>
      <c r="AF116" s="15">
        <v>217.09429578186624</v>
      </c>
      <c r="AG116" s="15">
        <v>-146.49930751044303</v>
      </c>
      <c r="AH116" s="15">
        <v>176.40639670769076</v>
      </c>
      <c r="AI116" s="15"/>
      <c r="AJ116" s="21"/>
      <c r="AK116" s="21"/>
      <c r="AL116" s="15"/>
      <c r="AM116" s="21"/>
      <c r="AN116" s="21"/>
      <c r="AO116" s="21"/>
      <c r="AP116" s="21"/>
      <c r="AQ116" s="21"/>
      <c r="AR116" s="21"/>
      <c r="AS116" s="15"/>
      <c r="AT116" s="21"/>
      <c r="AU116" s="22"/>
      <c r="AV116" s="21"/>
      <c r="AW116" s="15"/>
      <c r="AX116" s="21"/>
      <c r="AY116" s="15"/>
      <c r="AZ116" s="15"/>
      <c r="BA116" s="15"/>
      <c r="BB116" s="15"/>
      <c r="BC116" s="15"/>
      <c r="BD116" s="19"/>
      <c r="BE116" s="2"/>
      <c r="BF116" s="19"/>
      <c r="BG116" s="2"/>
      <c r="BH116" s="19"/>
      <c r="BI116" s="19"/>
      <c r="BJ116" s="19"/>
      <c r="BK116" s="19"/>
      <c r="BL116" s="19"/>
      <c r="BM116" s="2"/>
      <c r="BN116" s="19"/>
      <c r="BO116" s="19"/>
      <c r="BP116" s="19"/>
      <c r="BQ116" s="19"/>
      <c r="BR116" s="2"/>
      <c r="BS116" s="2"/>
      <c r="BT116" s="2"/>
      <c r="BU116" s="2"/>
      <c r="BV116" s="2"/>
      <c r="BW116" s="2"/>
      <c r="BX116" s="19"/>
      <c r="BY116" s="2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2"/>
      <c r="CL116" s="19"/>
      <c r="CM116" s="19"/>
      <c r="CN116" s="19"/>
      <c r="CO116" s="19"/>
      <c r="CP116" s="19"/>
      <c r="CQ116" s="2"/>
      <c r="CR116" s="19"/>
      <c r="CS116" s="19"/>
      <c r="CT116" s="19"/>
      <c r="CU116" s="19"/>
      <c r="CV116" s="19"/>
      <c r="CW116" s="15"/>
      <c r="CX116" s="15"/>
      <c r="CY116" s="21"/>
      <c r="CZ116" s="15"/>
      <c r="DA116" s="15"/>
      <c r="DB116" s="15"/>
      <c r="DC116" s="15"/>
      <c r="DD116" s="15"/>
      <c r="DE116" s="15"/>
      <c r="DF116" s="15"/>
      <c r="DG116" s="15"/>
      <c r="DH116" s="15"/>
      <c r="DI116" s="15"/>
      <c r="DJ116" s="21"/>
      <c r="DK116" s="21"/>
      <c r="DL116" s="21"/>
      <c r="DM116" s="15"/>
      <c r="DN116" s="21"/>
      <c r="DO116" s="21"/>
      <c r="DP116" s="21"/>
      <c r="DQ116" s="21"/>
      <c r="DR116" s="15"/>
      <c r="DS116" s="15"/>
      <c r="DT116" s="15"/>
      <c r="DU116" s="21"/>
      <c r="DV116" s="21"/>
      <c r="DW116" s="21"/>
      <c r="DX116" s="21"/>
      <c r="DY116" s="10"/>
      <c r="DZ116" s="10"/>
      <c r="EA116" s="10"/>
      <c r="EB116" s="15"/>
      <c r="EC116" s="15"/>
      <c r="ED116" s="15"/>
      <c r="EE116" s="21"/>
      <c r="EF116" s="15"/>
      <c r="EG116" s="15"/>
      <c r="EH116" s="15"/>
      <c r="EI116" s="15"/>
      <c r="EJ116" s="15"/>
      <c r="EK116" s="19"/>
      <c r="EL116" s="19"/>
      <c r="EM116" s="19"/>
      <c r="EN116" s="19"/>
      <c r="EO116" s="2"/>
      <c r="EP116" s="19"/>
      <c r="EQ116" s="19"/>
      <c r="ER116" s="19"/>
      <c r="ES116" s="19"/>
      <c r="ET116" s="2"/>
      <c r="EU116" s="19"/>
      <c r="EV116" s="19"/>
      <c r="EW116" s="19"/>
      <c r="EX116" s="19"/>
      <c r="EY116" s="2"/>
      <c r="EZ116" s="2"/>
      <c r="FA116" s="2"/>
      <c r="FB116" s="19"/>
      <c r="FC116" s="19"/>
      <c r="FD116" s="19"/>
      <c r="FE116" s="19"/>
      <c r="FF116" s="13"/>
      <c r="FG116" s="13"/>
      <c r="FH116" s="13"/>
      <c r="FI116" s="2"/>
      <c r="FJ116" s="2"/>
      <c r="FK116" s="2"/>
      <c r="FL116" s="19"/>
      <c r="FM116" s="2"/>
      <c r="FN116" s="23"/>
      <c r="FO116" s="2"/>
      <c r="FP116" s="23"/>
      <c r="FQ116" s="2"/>
      <c r="FR116" s="19"/>
      <c r="FS116" s="19"/>
      <c r="FT116" s="19"/>
      <c r="FU116" s="19"/>
      <c r="FV116" s="19"/>
      <c r="FW116" s="19"/>
      <c r="FX116" s="19"/>
      <c r="FY116" s="19"/>
      <c r="FZ116" s="19"/>
      <c r="GA116" s="2"/>
      <c r="GB116" s="19"/>
      <c r="GC116" s="19"/>
      <c r="GD116" s="19"/>
      <c r="GE116" s="19"/>
      <c r="GF116" s="19"/>
      <c r="GG116" s="19"/>
      <c r="GH116" s="2"/>
      <c r="GI116" s="2"/>
      <c r="GJ116" s="2"/>
      <c r="GK116" s="19"/>
      <c r="GL116" s="19"/>
      <c r="GM116" s="19"/>
      <c r="GN116" s="19"/>
      <c r="GO116" s="13"/>
      <c r="GP116" s="13"/>
      <c r="GQ116" s="13"/>
      <c r="GR116" s="2"/>
      <c r="GS116" s="2"/>
      <c r="GT116" s="2"/>
      <c r="GU116" s="19"/>
      <c r="GV116" s="2"/>
      <c r="GW116" s="23"/>
      <c r="GX116" s="2"/>
      <c r="GY116" s="23"/>
      <c r="GZ116" s="2"/>
      <c r="HA116" s="19"/>
      <c r="HB116" s="19"/>
      <c r="HC116" s="19"/>
      <c r="HD116" s="19"/>
      <c r="HE116" s="19"/>
      <c r="HF116" s="2"/>
      <c r="HG116" s="19"/>
      <c r="HH116" s="19"/>
      <c r="HI116" s="19"/>
      <c r="HJ116" s="2"/>
      <c r="HK116" s="19"/>
      <c r="HL116" s="19"/>
      <c r="HM116" s="19"/>
      <c r="HN116" s="19"/>
      <c r="HO116" s="19"/>
      <c r="HP116" s="19"/>
      <c r="HQ116" s="2"/>
      <c r="HR116" s="2"/>
      <c r="HS116" s="2"/>
      <c r="HT116" s="2"/>
      <c r="HU116" s="2"/>
      <c r="HV116" s="19"/>
      <c r="HW116" s="19"/>
      <c r="HX116" s="19"/>
      <c r="HY116" s="19"/>
      <c r="HZ116" s="13"/>
      <c r="IA116" s="13"/>
      <c r="IB116" s="13"/>
      <c r="IC116" s="2"/>
      <c r="ID116" s="2"/>
      <c r="IE116" s="2"/>
      <c r="IF116" s="19"/>
      <c r="IG116" s="2"/>
      <c r="IH116" s="23"/>
      <c r="II116" s="2"/>
      <c r="IJ116" s="23"/>
      <c r="IK116" s="2"/>
    </row>
    <row r="117" spans="1:245" ht="15" hidden="1">
      <c r="A117" s="85"/>
      <c r="B117" s="205" t="s">
        <v>168</v>
      </c>
      <c r="C117" s="85">
        <v>8.3758333333333344</v>
      </c>
      <c r="D117" s="85">
        <v>-59.508333333333333</v>
      </c>
      <c r="E117" s="206">
        <v>234.14698086608144</v>
      </c>
      <c r="F117" s="206">
        <v>-59.569461187838371</v>
      </c>
      <c r="G117" s="206">
        <v>4.3466670024588936</v>
      </c>
      <c r="H117" s="206">
        <v>-8.3684065664796563</v>
      </c>
      <c r="I117" s="85">
        <v>234.1497999598748</v>
      </c>
      <c r="J117" s="85">
        <v>-59.570079649349687</v>
      </c>
      <c r="K117" s="85">
        <v>6879.9233057019064</v>
      </c>
      <c r="L117" s="206">
        <v>165.97104240115732</v>
      </c>
      <c r="M117" s="85">
        <v>0.18836203437924454</v>
      </c>
      <c r="N117" s="201">
        <v>120.72667911137452</v>
      </c>
      <c r="O117" s="201">
        <v>221.64473874686882</v>
      </c>
      <c r="P117" s="201">
        <v>150.91370305677992</v>
      </c>
      <c r="Q117" s="201">
        <v>23.436848683326179</v>
      </c>
      <c r="R117" s="201">
        <v>-13.485358950927239</v>
      </c>
      <c r="S117" s="201">
        <v>-4.5383266604768906</v>
      </c>
      <c r="T117" s="201">
        <v>18.898522022849289</v>
      </c>
      <c r="U117" s="15">
        <v>-3.5440037045778874E-3</v>
      </c>
      <c r="V117" s="15">
        <v>194.03250160254726</v>
      </c>
      <c r="W117" s="15">
        <v>221.6395184644889</v>
      </c>
      <c r="X117" s="15">
        <v>298.38229372014393</v>
      </c>
      <c r="Y117" s="15">
        <v>-1.7015369245100407</v>
      </c>
      <c r="Z117" s="15">
        <v>219.93798153997886</v>
      </c>
      <c r="AA117" s="15">
        <v>4.1107975955740859</v>
      </c>
      <c r="AB117" s="15">
        <v>23.436848683326179</v>
      </c>
      <c r="AC117" s="15">
        <v>-14.793207529581723</v>
      </c>
      <c r="AD117" s="15">
        <v>-0.58899587726735725</v>
      </c>
      <c r="AE117" s="15">
        <v>-0.76673976444612901</v>
      </c>
      <c r="AF117" s="15">
        <v>217.53083014983119</v>
      </c>
      <c r="AG117" s="15">
        <v>14.02895759884268</v>
      </c>
      <c r="AH117" s="15">
        <v>336.49812744901146</v>
      </c>
      <c r="AI117" s="15"/>
      <c r="AJ117" s="21"/>
      <c r="AK117" s="21"/>
      <c r="AL117" s="15"/>
      <c r="AM117" s="21"/>
      <c r="AN117" s="21"/>
      <c r="AO117" s="21"/>
      <c r="AP117" s="21"/>
      <c r="AQ117" s="21"/>
      <c r="AR117" s="21"/>
      <c r="AS117" s="15"/>
      <c r="AT117" s="21"/>
      <c r="AU117" s="22"/>
      <c r="AV117" s="21"/>
      <c r="AW117" s="15"/>
      <c r="AX117" s="21"/>
      <c r="AY117" s="15"/>
      <c r="AZ117" s="15"/>
      <c r="BA117" s="15"/>
      <c r="BB117" s="15"/>
      <c r="BC117" s="15"/>
      <c r="BD117" s="19"/>
      <c r="BE117" s="2"/>
      <c r="BF117" s="19"/>
      <c r="BG117" s="2"/>
      <c r="BH117" s="19"/>
      <c r="BI117" s="19"/>
      <c r="BJ117" s="19"/>
      <c r="BK117" s="19"/>
      <c r="BL117" s="19"/>
      <c r="BM117" s="2"/>
      <c r="BN117" s="19"/>
      <c r="BO117" s="19"/>
      <c r="BP117" s="19"/>
      <c r="BQ117" s="19"/>
      <c r="BR117" s="2"/>
      <c r="BS117" s="2"/>
      <c r="BT117" s="2"/>
      <c r="BU117" s="2"/>
      <c r="BV117" s="2"/>
      <c r="BW117" s="2"/>
      <c r="BX117" s="19"/>
      <c r="BY117" s="2"/>
      <c r="BZ117" s="19"/>
      <c r="CA117" s="19"/>
      <c r="CB117" s="19"/>
      <c r="CC117" s="19"/>
      <c r="CD117" s="19"/>
      <c r="CE117" s="19"/>
      <c r="CF117" s="19"/>
      <c r="CG117" s="19"/>
      <c r="CH117" s="19"/>
      <c r="CI117" s="19"/>
      <c r="CJ117" s="19"/>
      <c r="CK117" s="2"/>
      <c r="CL117" s="19"/>
      <c r="CM117" s="19"/>
      <c r="CN117" s="19"/>
      <c r="CO117" s="19"/>
      <c r="CP117" s="19"/>
      <c r="CQ117" s="2"/>
      <c r="CR117" s="19"/>
      <c r="CS117" s="19"/>
      <c r="CT117" s="19"/>
      <c r="CU117" s="19"/>
      <c r="CV117" s="19"/>
      <c r="CW117" s="15"/>
      <c r="CX117" s="15"/>
      <c r="CY117" s="21"/>
      <c r="CZ117" s="15"/>
      <c r="DA117" s="15"/>
      <c r="DB117" s="15"/>
      <c r="DC117" s="15"/>
      <c r="DD117" s="15"/>
      <c r="DE117" s="15"/>
      <c r="DF117" s="15"/>
      <c r="DG117" s="15"/>
      <c r="DH117" s="15"/>
      <c r="DI117" s="15"/>
      <c r="DJ117" s="21"/>
      <c r="DK117" s="21"/>
      <c r="DL117" s="21"/>
      <c r="DM117" s="15"/>
      <c r="DN117" s="21"/>
      <c r="DO117" s="21"/>
      <c r="DP117" s="21"/>
      <c r="DQ117" s="21"/>
      <c r="DR117" s="15"/>
      <c r="DS117" s="15"/>
      <c r="DT117" s="15"/>
      <c r="DU117" s="21"/>
      <c r="DV117" s="21"/>
      <c r="DW117" s="21"/>
      <c r="DX117" s="21"/>
      <c r="DY117" s="10"/>
      <c r="DZ117" s="10"/>
      <c r="EA117" s="10"/>
      <c r="EB117" s="15"/>
      <c r="EC117" s="15"/>
      <c r="ED117" s="15"/>
      <c r="EE117" s="21"/>
      <c r="EF117" s="15"/>
      <c r="EG117" s="15"/>
      <c r="EH117" s="15"/>
      <c r="EI117" s="15"/>
      <c r="EJ117" s="15"/>
      <c r="EK117" s="19"/>
      <c r="EL117" s="19"/>
      <c r="EM117" s="19"/>
      <c r="EN117" s="19"/>
      <c r="EO117" s="2"/>
      <c r="EP117" s="19"/>
      <c r="EQ117" s="19"/>
      <c r="ER117" s="19"/>
      <c r="ES117" s="19"/>
      <c r="ET117" s="2"/>
      <c r="EU117" s="19"/>
      <c r="EV117" s="19"/>
      <c r="EW117" s="19"/>
      <c r="EX117" s="19"/>
      <c r="EY117" s="2"/>
      <c r="EZ117" s="2"/>
      <c r="FA117" s="2"/>
      <c r="FB117" s="19"/>
      <c r="FC117" s="19"/>
      <c r="FD117" s="19"/>
      <c r="FE117" s="19"/>
      <c r="FF117" s="13"/>
      <c r="FG117" s="13"/>
      <c r="FH117" s="13"/>
      <c r="FI117" s="2"/>
      <c r="FJ117" s="2"/>
      <c r="FK117" s="2"/>
      <c r="FL117" s="19"/>
      <c r="FM117" s="2"/>
      <c r="FN117" s="23"/>
      <c r="FO117" s="2"/>
      <c r="FP117" s="23"/>
      <c r="FQ117" s="2"/>
      <c r="FR117" s="19"/>
      <c r="FS117" s="19"/>
      <c r="FT117" s="19"/>
      <c r="FU117" s="19"/>
      <c r="FV117" s="19"/>
      <c r="FW117" s="19"/>
      <c r="FX117" s="19"/>
      <c r="FY117" s="19"/>
      <c r="FZ117" s="19"/>
      <c r="GA117" s="2"/>
      <c r="GB117" s="19"/>
      <c r="GC117" s="19"/>
      <c r="GD117" s="19"/>
      <c r="GE117" s="19"/>
      <c r="GF117" s="19"/>
      <c r="GG117" s="19"/>
      <c r="GH117" s="2"/>
      <c r="GI117" s="2"/>
      <c r="GJ117" s="2"/>
      <c r="GK117" s="19"/>
      <c r="GL117" s="19"/>
      <c r="GM117" s="19"/>
      <c r="GN117" s="19"/>
      <c r="GO117" s="13"/>
      <c r="GP117" s="13"/>
      <c r="GQ117" s="13"/>
      <c r="GR117" s="2"/>
      <c r="GS117" s="2"/>
      <c r="GT117" s="2"/>
      <c r="GU117" s="19"/>
      <c r="GV117" s="2"/>
      <c r="GW117" s="23"/>
      <c r="GX117" s="2"/>
      <c r="GY117" s="23"/>
      <c r="GZ117" s="2"/>
      <c r="HA117" s="19"/>
      <c r="HB117" s="19"/>
      <c r="HC117" s="19"/>
      <c r="HD117" s="19"/>
      <c r="HE117" s="19"/>
      <c r="HF117" s="2"/>
      <c r="HG117" s="19"/>
      <c r="HH117" s="19"/>
      <c r="HI117" s="19"/>
      <c r="HJ117" s="2"/>
      <c r="HK117" s="19"/>
      <c r="HL117" s="19"/>
      <c r="HM117" s="19"/>
      <c r="HN117" s="19"/>
      <c r="HO117" s="19"/>
      <c r="HP117" s="19"/>
      <c r="HQ117" s="2"/>
      <c r="HR117" s="2"/>
      <c r="HS117" s="2"/>
      <c r="HT117" s="2"/>
      <c r="HU117" s="2"/>
      <c r="HV117" s="19"/>
      <c r="HW117" s="19"/>
      <c r="HX117" s="19"/>
      <c r="HY117" s="19"/>
      <c r="HZ117" s="13"/>
      <c r="IA117" s="13"/>
      <c r="IB117" s="13"/>
      <c r="IC117" s="2"/>
      <c r="ID117" s="2"/>
      <c r="IE117" s="2"/>
      <c r="IF117" s="19"/>
      <c r="IG117" s="2"/>
      <c r="IH117" s="23"/>
      <c r="II117" s="2"/>
      <c r="IJ117" s="23"/>
      <c r="IK117" s="2"/>
    </row>
    <row r="118" spans="1:245" ht="15" hidden="1">
      <c r="A118" s="85"/>
      <c r="B118" s="205" t="s">
        <v>169</v>
      </c>
      <c r="C118" s="85">
        <v>5.4188888888888895</v>
      </c>
      <c r="D118" s="85">
        <v>6.3483333333333336</v>
      </c>
      <c r="E118" s="206">
        <v>278.47409265251895</v>
      </c>
      <c r="F118" s="206">
        <v>6.3642326657035637</v>
      </c>
      <c r="G118" s="206">
        <v>4.3466670024588936</v>
      </c>
      <c r="H118" s="206">
        <v>-8.3684065664796563</v>
      </c>
      <c r="I118" s="85">
        <v>278.47446220081918</v>
      </c>
      <c r="J118" s="85">
        <v>6.3640859322886962</v>
      </c>
      <c r="K118" s="85">
        <v>6879.9314983907607</v>
      </c>
      <c r="L118" s="206">
        <v>163.01359931146726</v>
      </c>
      <c r="M118" s="85">
        <v>0.18836225868284082</v>
      </c>
      <c r="N118" s="201">
        <v>120.72624527765547</v>
      </c>
      <c r="O118" s="201">
        <v>221.652813849003</v>
      </c>
      <c r="P118" s="201">
        <v>151.02165317333129</v>
      </c>
      <c r="Q118" s="201">
        <v>23.436848680407124</v>
      </c>
      <c r="R118" s="201">
        <v>-13.484925147086926</v>
      </c>
      <c r="S118" s="201">
        <v>-4.5381053680990284</v>
      </c>
      <c r="T118" s="201">
        <v>18.898743312308095</v>
      </c>
      <c r="U118" s="15">
        <v>-3.5438850134284455E-3</v>
      </c>
      <c r="V118" s="15">
        <v>196.98994457354618</v>
      </c>
      <c r="W118" s="15">
        <v>221.64759356695777</v>
      </c>
      <c r="X118" s="15">
        <v>298.39036843652138</v>
      </c>
      <c r="Y118" s="15">
        <v>-1.7014117078663618</v>
      </c>
      <c r="Z118" s="15">
        <v>219.94618185909141</v>
      </c>
      <c r="AA118" s="15">
        <v>4.1108248289053808</v>
      </c>
      <c r="AB118" s="15">
        <v>23.436848680407124</v>
      </c>
      <c r="AC118" s="15">
        <v>-14.795793903986867</v>
      </c>
      <c r="AD118" s="15">
        <v>-0.58909655553842755</v>
      </c>
      <c r="AE118" s="15">
        <v>-0.7666478779091408</v>
      </c>
      <c r="AF118" s="15">
        <v>217.53887874485832</v>
      </c>
      <c r="AG118" s="15">
        <v>16.98640068853274</v>
      </c>
      <c r="AH118" s="15">
        <v>339.44752194367442</v>
      </c>
      <c r="AI118" s="15"/>
      <c r="AJ118" s="21"/>
      <c r="AK118" s="21"/>
      <c r="AL118" s="15"/>
      <c r="AM118" s="21"/>
      <c r="AN118" s="21"/>
      <c r="AO118" s="21"/>
      <c r="AP118" s="21"/>
      <c r="AQ118" s="21"/>
      <c r="AR118" s="21"/>
      <c r="AS118" s="15"/>
      <c r="AT118" s="21"/>
      <c r="AU118" s="22"/>
      <c r="AV118" s="21"/>
      <c r="AW118" s="15"/>
      <c r="AX118" s="21"/>
      <c r="AY118" s="15"/>
      <c r="AZ118" s="15"/>
      <c r="BA118" s="15"/>
      <c r="BB118" s="15"/>
      <c r="BC118" s="15"/>
      <c r="BD118" s="19"/>
      <c r="BE118" s="2"/>
      <c r="BF118" s="19"/>
      <c r="BG118" s="2"/>
      <c r="BH118" s="19"/>
      <c r="BI118" s="19"/>
      <c r="BJ118" s="19"/>
      <c r="BK118" s="19"/>
      <c r="BL118" s="19"/>
      <c r="BM118" s="2"/>
      <c r="BN118" s="19"/>
      <c r="BO118" s="19"/>
      <c r="BP118" s="19"/>
      <c r="BQ118" s="19"/>
      <c r="BR118" s="2"/>
      <c r="BS118" s="2"/>
      <c r="BT118" s="2"/>
      <c r="BU118" s="2"/>
      <c r="BV118" s="2"/>
      <c r="BW118" s="2"/>
      <c r="BX118" s="19"/>
      <c r="BY118" s="2"/>
      <c r="BZ118" s="19"/>
      <c r="CA118" s="19"/>
      <c r="CB118" s="19"/>
      <c r="CC118" s="19"/>
      <c r="CD118" s="19"/>
      <c r="CE118" s="19"/>
      <c r="CF118" s="19"/>
      <c r="CG118" s="19"/>
      <c r="CH118" s="19"/>
      <c r="CI118" s="19"/>
      <c r="CJ118" s="19"/>
      <c r="CK118" s="2"/>
      <c r="CL118" s="19"/>
      <c r="CM118" s="19"/>
      <c r="CN118" s="19"/>
      <c r="CO118" s="19"/>
      <c r="CP118" s="19"/>
      <c r="CQ118" s="2"/>
      <c r="CR118" s="19"/>
      <c r="CS118" s="19"/>
      <c r="CT118" s="19"/>
      <c r="CU118" s="19"/>
      <c r="CV118" s="19"/>
      <c r="CW118" s="15"/>
      <c r="CX118" s="15"/>
      <c r="CY118" s="21"/>
      <c r="CZ118" s="15"/>
      <c r="DA118" s="15"/>
      <c r="DB118" s="15"/>
      <c r="DC118" s="15"/>
      <c r="DD118" s="15"/>
      <c r="DE118" s="15"/>
      <c r="DF118" s="15"/>
      <c r="DG118" s="15"/>
      <c r="DH118" s="15"/>
      <c r="DI118" s="15"/>
      <c r="DJ118" s="21"/>
      <c r="DK118" s="21"/>
      <c r="DL118" s="21"/>
      <c r="DM118" s="15"/>
      <c r="DN118" s="21"/>
      <c r="DO118" s="21"/>
      <c r="DP118" s="21"/>
      <c r="DQ118" s="21"/>
      <c r="DR118" s="15"/>
      <c r="DS118" s="15"/>
      <c r="DT118" s="15"/>
      <c r="DU118" s="21"/>
      <c r="DV118" s="21"/>
      <c r="DW118" s="21"/>
      <c r="DX118" s="21"/>
      <c r="DY118" s="10"/>
      <c r="DZ118" s="10"/>
      <c r="EA118" s="10"/>
      <c r="EB118" s="15"/>
      <c r="EC118" s="15"/>
      <c r="ED118" s="15"/>
      <c r="EE118" s="21"/>
      <c r="EF118" s="15"/>
      <c r="EG118" s="15"/>
      <c r="EH118" s="15"/>
      <c r="EI118" s="15"/>
      <c r="EJ118" s="15"/>
      <c r="EK118" s="19"/>
      <c r="EL118" s="19"/>
      <c r="EM118" s="19"/>
      <c r="EN118" s="19"/>
      <c r="EO118" s="2"/>
      <c r="EP118" s="19"/>
      <c r="EQ118" s="19"/>
      <c r="ER118" s="19"/>
      <c r="ES118" s="19"/>
      <c r="ET118" s="2"/>
      <c r="EU118" s="19"/>
      <c r="EV118" s="19"/>
      <c r="EW118" s="19"/>
      <c r="EX118" s="19"/>
      <c r="EY118" s="2"/>
      <c r="EZ118" s="2"/>
      <c r="FA118" s="2"/>
      <c r="FB118" s="19"/>
      <c r="FC118" s="19"/>
      <c r="FD118" s="19"/>
      <c r="FE118" s="19"/>
      <c r="FF118" s="13"/>
      <c r="FG118" s="13"/>
      <c r="FH118" s="13"/>
      <c r="FI118" s="2"/>
      <c r="FJ118" s="2"/>
      <c r="FK118" s="2"/>
      <c r="FL118" s="19"/>
      <c r="FM118" s="2"/>
      <c r="FN118" s="23"/>
      <c r="FO118" s="2"/>
      <c r="FP118" s="23"/>
      <c r="FQ118" s="2"/>
      <c r="FR118" s="19"/>
      <c r="FS118" s="19"/>
      <c r="FT118" s="19"/>
      <c r="FU118" s="19"/>
      <c r="FV118" s="19"/>
      <c r="FW118" s="19"/>
      <c r="FX118" s="19"/>
      <c r="FY118" s="19"/>
      <c r="FZ118" s="19"/>
      <c r="GA118" s="2"/>
      <c r="GB118" s="19"/>
      <c r="GC118" s="19"/>
      <c r="GD118" s="19"/>
      <c r="GE118" s="19"/>
      <c r="GF118" s="19"/>
      <c r="GG118" s="19"/>
      <c r="GH118" s="2"/>
      <c r="GI118" s="2"/>
      <c r="GJ118" s="2"/>
      <c r="GK118" s="19"/>
      <c r="GL118" s="19"/>
      <c r="GM118" s="19"/>
      <c r="GN118" s="19"/>
      <c r="GO118" s="13"/>
      <c r="GP118" s="13"/>
      <c r="GQ118" s="13"/>
      <c r="GR118" s="2"/>
      <c r="GS118" s="2"/>
      <c r="GT118" s="2"/>
      <c r="GU118" s="19"/>
      <c r="GV118" s="2"/>
      <c r="GW118" s="23"/>
      <c r="GX118" s="2"/>
      <c r="GY118" s="23"/>
      <c r="GZ118" s="2"/>
      <c r="HA118" s="19"/>
      <c r="HB118" s="19"/>
      <c r="HC118" s="19"/>
      <c r="HD118" s="19"/>
      <c r="HE118" s="19"/>
      <c r="HF118" s="2"/>
      <c r="HG118" s="19"/>
      <c r="HH118" s="19"/>
      <c r="HI118" s="19"/>
      <c r="HJ118" s="2"/>
      <c r="HK118" s="19"/>
      <c r="HL118" s="19"/>
      <c r="HM118" s="19"/>
      <c r="HN118" s="19"/>
      <c r="HO118" s="19"/>
      <c r="HP118" s="19"/>
      <c r="HQ118" s="2"/>
      <c r="HR118" s="2"/>
      <c r="HS118" s="2"/>
      <c r="HT118" s="2"/>
      <c r="HU118" s="2"/>
      <c r="HV118" s="19"/>
      <c r="HW118" s="19"/>
      <c r="HX118" s="19"/>
      <c r="HY118" s="19"/>
      <c r="HZ118" s="13"/>
      <c r="IA118" s="13"/>
      <c r="IB118" s="13"/>
      <c r="IC118" s="2"/>
      <c r="ID118" s="2"/>
      <c r="IE118" s="2"/>
      <c r="IF118" s="19"/>
      <c r="IG118" s="2"/>
      <c r="IH118" s="23"/>
      <c r="II118" s="2"/>
      <c r="IJ118" s="23"/>
      <c r="IK118" s="2"/>
    </row>
    <row r="119" spans="1:245" ht="15" hidden="1">
      <c r="A119" s="85"/>
      <c r="B119" s="205" t="s">
        <v>170</v>
      </c>
      <c r="C119" s="85">
        <v>5.9197222222222221</v>
      </c>
      <c r="D119" s="85">
        <v>7.4050000000000002</v>
      </c>
      <c r="E119" s="206">
        <v>270.96128866734841</v>
      </c>
      <c r="F119" s="206">
        <v>7.4072047515583179</v>
      </c>
      <c r="G119" s="206">
        <v>4.3466670024588936</v>
      </c>
      <c r="H119" s="206">
        <v>-8.3684065664796563</v>
      </c>
      <c r="I119" s="85">
        <v>270.96164596738612</v>
      </c>
      <c r="J119" s="85">
        <v>7.4069751022131349</v>
      </c>
      <c r="K119" s="85">
        <v>6879.9316239173349</v>
      </c>
      <c r="L119" s="206">
        <v>162.96828601974994</v>
      </c>
      <c r="M119" s="85">
        <v>0.18836226211957111</v>
      </c>
      <c r="N119" s="201">
        <v>120.7262386305508</v>
      </c>
      <c r="O119" s="201">
        <v>221.6529375739392</v>
      </c>
      <c r="P119" s="201">
        <v>151.02330716123106</v>
      </c>
      <c r="Q119" s="201">
        <v>23.436848680362399</v>
      </c>
      <c r="R119" s="201">
        <v>-13.484918479695233</v>
      </c>
      <c r="S119" s="201">
        <v>-4.5381019833932177</v>
      </c>
      <c r="T119" s="201">
        <v>18.89874669696918</v>
      </c>
      <c r="U119" s="15">
        <v>-3.5438831895435899E-3</v>
      </c>
      <c r="V119" s="15">
        <v>197.0352578634396</v>
      </c>
      <c r="W119" s="15">
        <v>221.64771729189852</v>
      </c>
      <c r="X119" s="15">
        <v>298.39049215554678</v>
      </c>
      <c r="Y119" s="15">
        <v>-1.7014097890539273</v>
      </c>
      <c r="Z119" s="15">
        <v>219.94630750284458</v>
      </c>
      <c r="AA119" s="15">
        <v>4.1108252444023918</v>
      </c>
      <c r="AB119" s="15">
        <v>23.436848680362399</v>
      </c>
      <c r="AC119" s="15">
        <v>-14.795833529759687</v>
      </c>
      <c r="AD119" s="15">
        <v>-0.58909809801817958</v>
      </c>
      <c r="AE119" s="15">
        <v>-0.76664646991867968</v>
      </c>
      <c r="AF119" s="15">
        <v>217.53900206541627</v>
      </c>
      <c r="AG119" s="15">
        <v>17.031713980250061</v>
      </c>
      <c r="AH119" s="15">
        <v>339.49271191483376</v>
      </c>
      <c r="AI119" s="15"/>
      <c r="AJ119" s="21"/>
      <c r="AK119" s="21"/>
      <c r="AL119" s="15"/>
      <c r="AM119" s="21"/>
      <c r="AN119" s="21"/>
      <c r="AO119" s="21"/>
      <c r="AP119" s="21"/>
      <c r="AQ119" s="21"/>
      <c r="AR119" s="21"/>
      <c r="AS119" s="15"/>
      <c r="AT119" s="21"/>
      <c r="AU119" s="22"/>
      <c r="AV119" s="21"/>
      <c r="AW119" s="15"/>
      <c r="AX119" s="21"/>
      <c r="AY119" s="15"/>
      <c r="AZ119" s="15"/>
      <c r="BA119" s="15"/>
      <c r="BB119" s="15"/>
      <c r="BC119" s="15"/>
      <c r="BD119" s="19"/>
      <c r="BE119" s="2"/>
      <c r="BF119" s="19"/>
      <c r="BG119" s="2"/>
      <c r="BH119" s="19"/>
      <c r="BI119" s="19"/>
      <c r="BJ119" s="19"/>
      <c r="BK119" s="19"/>
      <c r="BL119" s="19"/>
      <c r="BM119" s="2"/>
      <c r="BN119" s="19"/>
      <c r="BO119" s="19"/>
      <c r="BP119" s="19"/>
      <c r="BQ119" s="19"/>
      <c r="BR119" s="2"/>
      <c r="BS119" s="2"/>
      <c r="BT119" s="2"/>
      <c r="BU119" s="2"/>
      <c r="BV119" s="2"/>
      <c r="BW119" s="2"/>
      <c r="BX119" s="19"/>
      <c r="BY119" s="2"/>
      <c r="BZ119" s="19"/>
      <c r="CA119" s="19"/>
      <c r="CB119" s="19"/>
      <c r="CC119" s="19"/>
      <c r="CD119" s="19"/>
      <c r="CE119" s="19"/>
      <c r="CF119" s="19"/>
      <c r="CG119" s="19"/>
      <c r="CH119" s="19"/>
      <c r="CI119" s="19"/>
      <c r="CJ119" s="19"/>
      <c r="CK119" s="2"/>
      <c r="CL119" s="19"/>
      <c r="CM119" s="19"/>
      <c r="CN119" s="19"/>
      <c r="CO119" s="19"/>
      <c r="CP119" s="19"/>
      <c r="CQ119" s="2"/>
      <c r="CR119" s="19"/>
      <c r="CS119" s="19"/>
      <c r="CT119" s="19"/>
      <c r="CU119" s="19"/>
      <c r="CV119" s="19"/>
      <c r="CW119" s="15"/>
      <c r="CX119" s="15"/>
      <c r="CY119" s="21"/>
      <c r="CZ119" s="15"/>
      <c r="DA119" s="15"/>
      <c r="DB119" s="15"/>
      <c r="DC119" s="15"/>
      <c r="DD119" s="15"/>
      <c r="DE119" s="15"/>
      <c r="DF119" s="15"/>
      <c r="DG119" s="15"/>
      <c r="DH119" s="15"/>
      <c r="DI119" s="15"/>
      <c r="DJ119" s="21"/>
      <c r="DK119" s="21"/>
      <c r="DL119" s="21"/>
      <c r="DM119" s="15"/>
      <c r="DN119" s="21"/>
      <c r="DO119" s="21"/>
      <c r="DP119" s="21"/>
      <c r="DQ119" s="21"/>
      <c r="DR119" s="15"/>
      <c r="DS119" s="15"/>
      <c r="DT119" s="15"/>
      <c r="DU119" s="21"/>
      <c r="DV119" s="21"/>
      <c r="DW119" s="21"/>
      <c r="DX119" s="21"/>
      <c r="DY119" s="10"/>
      <c r="DZ119" s="10"/>
      <c r="EA119" s="10"/>
      <c r="EB119" s="15"/>
      <c r="EC119" s="15"/>
      <c r="ED119" s="15"/>
      <c r="EE119" s="21"/>
      <c r="EF119" s="15"/>
      <c r="EG119" s="15"/>
      <c r="EH119" s="15"/>
      <c r="EI119" s="15"/>
      <c r="EJ119" s="15"/>
      <c r="EK119" s="19"/>
      <c r="EL119" s="19"/>
      <c r="EM119" s="19"/>
      <c r="EN119" s="19"/>
      <c r="EO119" s="2"/>
      <c r="EP119" s="19"/>
      <c r="EQ119" s="19"/>
      <c r="ER119" s="19"/>
      <c r="ES119" s="19"/>
      <c r="ET119" s="2"/>
      <c r="EU119" s="19"/>
      <c r="EV119" s="19"/>
      <c r="EW119" s="19"/>
      <c r="EX119" s="19"/>
      <c r="EY119" s="2"/>
      <c r="EZ119" s="2"/>
      <c r="FA119" s="2"/>
      <c r="FB119" s="19"/>
      <c r="FC119" s="19"/>
      <c r="FD119" s="19"/>
      <c r="FE119" s="19"/>
      <c r="FF119" s="13"/>
      <c r="FG119" s="13"/>
      <c r="FH119" s="13"/>
      <c r="FI119" s="2"/>
      <c r="FJ119" s="2"/>
      <c r="FK119" s="2"/>
      <c r="FL119" s="19"/>
      <c r="FM119" s="2"/>
      <c r="FN119" s="23"/>
      <c r="FO119" s="2"/>
      <c r="FP119" s="23"/>
      <c r="FQ119" s="2"/>
      <c r="FR119" s="19"/>
      <c r="FS119" s="19"/>
      <c r="FT119" s="19"/>
      <c r="FU119" s="19"/>
      <c r="FV119" s="19"/>
      <c r="FW119" s="19"/>
      <c r="FX119" s="19"/>
      <c r="FY119" s="19"/>
      <c r="FZ119" s="19"/>
      <c r="GA119" s="2"/>
      <c r="GB119" s="19"/>
      <c r="GC119" s="19"/>
      <c r="GD119" s="19"/>
      <c r="GE119" s="19"/>
      <c r="GF119" s="19"/>
      <c r="GG119" s="19"/>
      <c r="GH119" s="2"/>
      <c r="GI119" s="2"/>
      <c r="GJ119" s="2"/>
      <c r="GK119" s="19"/>
      <c r="GL119" s="19"/>
      <c r="GM119" s="19"/>
      <c r="GN119" s="19"/>
      <c r="GO119" s="13"/>
      <c r="GP119" s="13"/>
      <c r="GQ119" s="13"/>
      <c r="GR119" s="2"/>
      <c r="GS119" s="2"/>
      <c r="GT119" s="2"/>
      <c r="GU119" s="19"/>
      <c r="GV119" s="2"/>
      <c r="GW119" s="23"/>
      <c r="GX119" s="2"/>
      <c r="GY119" s="23"/>
      <c r="GZ119" s="2"/>
      <c r="HA119" s="19"/>
      <c r="HB119" s="19"/>
      <c r="HC119" s="19"/>
      <c r="HD119" s="19"/>
      <c r="HE119" s="19"/>
      <c r="HF119" s="2"/>
      <c r="HG119" s="19"/>
      <c r="HH119" s="19"/>
      <c r="HI119" s="19"/>
      <c r="HJ119" s="2"/>
      <c r="HK119" s="19"/>
      <c r="HL119" s="19"/>
      <c r="HM119" s="19"/>
      <c r="HN119" s="19"/>
      <c r="HO119" s="19"/>
      <c r="HP119" s="19"/>
      <c r="HQ119" s="2"/>
      <c r="HR119" s="2"/>
      <c r="HS119" s="2"/>
      <c r="HT119" s="2"/>
      <c r="HU119" s="2"/>
      <c r="HV119" s="19"/>
      <c r="HW119" s="19"/>
      <c r="HX119" s="19"/>
      <c r="HY119" s="19"/>
      <c r="HZ119" s="13"/>
      <c r="IA119" s="13"/>
      <c r="IB119" s="13"/>
      <c r="IC119" s="2"/>
      <c r="ID119" s="2"/>
      <c r="IE119" s="2"/>
      <c r="IF119" s="19"/>
      <c r="IG119" s="2"/>
      <c r="IH119" s="23"/>
      <c r="II119" s="2"/>
      <c r="IJ119" s="23"/>
      <c r="IK119" s="2"/>
    </row>
    <row r="120" spans="1:245" ht="15" hidden="1">
      <c r="A120" s="85"/>
      <c r="B120" s="205" t="s">
        <v>171</v>
      </c>
      <c r="C120" s="85">
        <v>6.3997222222222225</v>
      </c>
      <c r="D120" s="85">
        <v>-52.698333333333331</v>
      </c>
      <c r="E120" s="206">
        <v>263.77804455035027</v>
      </c>
      <c r="F120" s="206">
        <v>-52.70929209878134</v>
      </c>
      <c r="G120" s="206">
        <v>4.3466670024588936</v>
      </c>
      <c r="H120" s="206">
        <v>-8.3684065664796563</v>
      </c>
      <c r="I120" s="85">
        <v>263.77822957959916</v>
      </c>
      <c r="J120" s="85">
        <v>-52.709601374494717</v>
      </c>
      <c r="K120" s="85">
        <v>6879.9316258404997</v>
      </c>
      <c r="L120" s="206">
        <v>162.96759178489447</v>
      </c>
      <c r="M120" s="85">
        <v>0.18836226217222449</v>
      </c>
      <c r="N120" s="201">
        <v>120.726238528712</v>
      </c>
      <c r="O120" s="201">
        <v>221.6529394695026</v>
      </c>
      <c r="P120" s="201">
        <v>151.0233325016161</v>
      </c>
      <c r="Q120" s="201">
        <v>23.436848680361713</v>
      </c>
      <c r="R120" s="201">
        <v>-13.484918377540716</v>
      </c>
      <c r="S120" s="201">
        <v>-4.5381019315382929</v>
      </c>
      <c r="T120" s="201">
        <v>18.89874674882342</v>
      </c>
      <c r="U120" s="15">
        <v>-3.5438831615989992E-3</v>
      </c>
      <c r="V120" s="15">
        <v>197.03595209826713</v>
      </c>
      <c r="W120" s="15">
        <v>221.64771918746101</v>
      </c>
      <c r="X120" s="15">
        <v>298.39049405101832</v>
      </c>
      <c r="Y120" s="15">
        <v>-1.7014097596561677</v>
      </c>
      <c r="Z120" s="15">
        <v>219.94630942780483</v>
      </c>
      <c r="AA120" s="15">
        <v>4.1108252507677197</v>
      </c>
      <c r="AB120" s="15">
        <v>23.436848680361713</v>
      </c>
      <c r="AC120" s="15">
        <v>-14.795834136856906</v>
      </c>
      <c r="AD120" s="15">
        <v>-0.58909812165014985</v>
      </c>
      <c r="AE120" s="15">
        <v>-0.76664644834713958</v>
      </c>
      <c r="AF120" s="15">
        <v>217.53900395478371</v>
      </c>
      <c r="AG120" s="15">
        <v>17.032408215105534</v>
      </c>
      <c r="AH120" s="15">
        <v>339.49340426032182</v>
      </c>
      <c r="AI120" s="15"/>
      <c r="AJ120" s="21"/>
      <c r="AK120" s="21"/>
      <c r="AL120" s="15"/>
      <c r="AM120" s="21"/>
      <c r="AN120" s="21"/>
      <c r="AO120" s="21"/>
      <c r="AP120" s="21"/>
      <c r="AQ120" s="21"/>
      <c r="AR120" s="21"/>
      <c r="AS120" s="15"/>
      <c r="AT120" s="21"/>
      <c r="AU120" s="22"/>
      <c r="AV120" s="21"/>
      <c r="AW120" s="15"/>
      <c r="AX120" s="21"/>
      <c r="AY120" s="15"/>
      <c r="AZ120" s="15"/>
      <c r="BA120" s="15"/>
      <c r="BB120" s="15"/>
      <c r="BC120" s="15"/>
      <c r="BD120" s="19"/>
      <c r="BE120" s="2"/>
      <c r="BF120" s="19"/>
      <c r="BG120" s="2"/>
      <c r="BH120" s="19"/>
      <c r="BI120" s="19"/>
      <c r="BJ120" s="19"/>
      <c r="BK120" s="19"/>
      <c r="BL120" s="19"/>
      <c r="BM120" s="2"/>
      <c r="BN120" s="19"/>
      <c r="BO120" s="19"/>
      <c r="BP120" s="19"/>
      <c r="BQ120" s="19"/>
      <c r="BR120" s="2"/>
      <c r="BS120" s="2"/>
      <c r="BT120" s="2"/>
      <c r="BU120" s="2"/>
      <c r="BV120" s="2"/>
      <c r="BW120" s="2"/>
      <c r="BX120" s="19"/>
      <c r="BY120" s="2"/>
      <c r="BZ120" s="19"/>
      <c r="CA120" s="19"/>
      <c r="CB120" s="19"/>
      <c r="CC120" s="19"/>
      <c r="CD120" s="19"/>
      <c r="CE120" s="19"/>
      <c r="CF120" s="19"/>
      <c r="CG120" s="19"/>
      <c r="CH120" s="19"/>
      <c r="CI120" s="19"/>
      <c r="CJ120" s="19"/>
      <c r="CK120" s="2"/>
      <c r="CL120" s="19"/>
      <c r="CM120" s="19"/>
      <c r="CN120" s="19"/>
      <c r="CO120" s="19"/>
      <c r="CP120" s="19"/>
      <c r="CQ120" s="2"/>
      <c r="CR120" s="19"/>
      <c r="CS120" s="19"/>
      <c r="CT120" s="19"/>
      <c r="CU120" s="19"/>
      <c r="CV120" s="19"/>
      <c r="CW120" s="15"/>
      <c r="CX120" s="15"/>
      <c r="CY120" s="21"/>
      <c r="CZ120" s="15"/>
      <c r="DA120" s="15"/>
      <c r="DB120" s="15"/>
      <c r="DC120" s="15"/>
      <c r="DD120" s="15"/>
      <c r="DE120" s="15"/>
      <c r="DF120" s="15"/>
      <c r="DG120" s="15"/>
      <c r="DH120" s="15"/>
      <c r="DI120" s="15"/>
      <c r="DJ120" s="21"/>
      <c r="DK120" s="21"/>
      <c r="DL120" s="21"/>
      <c r="DM120" s="15"/>
      <c r="DN120" s="21"/>
      <c r="DO120" s="21"/>
      <c r="DP120" s="21"/>
      <c r="DQ120" s="21"/>
      <c r="DR120" s="15"/>
      <c r="DS120" s="15"/>
      <c r="DT120" s="15"/>
      <c r="DU120" s="21"/>
      <c r="DV120" s="21"/>
      <c r="DW120" s="21"/>
      <c r="DX120" s="21"/>
      <c r="DY120" s="10"/>
      <c r="DZ120" s="10"/>
      <c r="EA120" s="10"/>
      <c r="EB120" s="15"/>
      <c r="EC120" s="15"/>
      <c r="ED120" s="15"/>
      <c r="EE120" s="21"/>
      <c r="EF120" s="15"/>
      <c r="EG120" s="15"/>
      <c r="EH120" s="15"/>
      <c r="EI120" s="15"/>
      <c r="EJ120" s="15"/>
      <c r="EK120" s="19"/>
      <c r="EL120" s="19"/>
      <c r="EM120" s="19"/>
      <c r="EN120" s="19"/>
      <c r="EO120" s="2"/>
      <c r="EP120" s="19"/>
      <c r="EQ120" s="19"/>
      <c r="ER120" s="19"/>
      <c r="ES120" s="19"/>
      <c r="ET120" s="2"/>
      <c r="EU120" s="19"/>
      <c r="EV120" s="19"/>
      <c r="EW120" s="19"/>
      <c r="EX120" s="19"/>
      <c r="EY120" s="2"/>
      <c r="EZ120" s="2"/>
      <c r="FA120" s="2"/>
      <c r="FB120" s="19"/>
      <c r="FC120" s="19"/>
      <c r="FD120" s="19"/>
      <c r="FE120" s="19"/>
      <c r="FF120" s="13"/>
      <c r="FG120" s="13"/>
      <c r="FH120" s="13"/>
      <c r="FI120" s="2"/>
      <c r="FJ120" s="2"/>
      <c r="FK120" s="2"/>
      <c r="FL120" s="19"/>
      <c r="FM120" s="2"/>
      <c r="FN120" s="23"/>
      <c r="FO120" s="2"/>
      <c r="FP120" s="23"/>
      <c r="FQ120" s="2"/>
      <c r="FR120" s="19"/>
      <c r="FS120" s="19"/>
      <c r="FT120" s="19"/>
      <c r="FU120" s="19"/>
      <c r="FV120" s="19"/>
      <c r="FW120" s="19"/>
      <c r="FX120" s="19"/>
      <c r="FY120" s="19"/>
      <c r="FZ120" s="19"/>
      <c r="GA120" s="2"/>
      <c r="GB120" s="19"/>
      <c r="GC120" s="19"/>
      <c r="GD120" s="19"/>
      <c r="GE120" s="19"/>
      <c r="GF120" s="19"/>
      <c r="GG120" s="19"/>
      <c r="GH120" s="2"/>
      <c r="GI120" s="2"/>
      <c r="GJ120" s="2"/>
      <c r="GK120" s="19"/>
      <c r="GL120" s="19"/>
      <c r="GM120" s="19"/>
      <c r="GN120" s="19"/>
      <c r="GO120" s="13"/>
      <c r="GP120" s="13"/>
      <c r="GQ120" s="13"/>
      <c r="GR120" s="2"/>
      <c r="GS120" s="2"/>
      <c r="GT120" s="2"/>
      <c r="GU120" s="19"/>
      <c r="GV120" s="2"/>
      <c r="GW120" s="23"/>
      <c r="GX120" s="2"/>
      <c r="GY120" s="23"/>
      <c r="GZ120" s="2"/>
      <c r="HA120" s="19"/>
      <c r="HB120" s="19"/>
      <c r="HC120" s="19"/>
      <c r="HD120" s="19"/>
      <c r="HE120" s="19"/>
      <c r="HF120" s="2"/>
      <c r="HG120" s="19"/>
      <c r="HH120" s="19"/>
      <c r="HI120" s="19"/>
      <c r="HJ120" s="2"/>
      <c r="HK120" s="19"/>
      <c r="HL120" s="19"/>
      <c r="HM120" s="19"/>
      <c r="HN120" s="19"/>
      <c r="HO120" s="19"/>
      <c r="HP120" s="19"/>
      <c r="HQ120" s="2"/>
      <c r="HR120" s="2"/>
      <c r="HS120" s="2"/>
      <c r="HT120" s="2"/>
      <c r="HU120" s="2"/>
      <c r="HV120" s="19"/>
      <c r="HW120" s="19"/>
      <c r="HX120" s="19"/>
      <c r="HY120" s="19"/>
      <c r="HZ120" s="13"/>
      <c r="IA120" s="13"/>
      <c r="IB120" s="13"/>
      <c r="IC120" s="2"/>
      <c r="ID120" s="2"/>
      <c r="IE120" s="2"/>
      <c r="IF120" s="19"/>
      <c r="IG120" s="2"/>
      <c r="IH120" s="23"/>
      <c r="II120" s="2"/>
      <c r="IJ120" s="23"/>
      <c r="IK120" s="2"/>
    </row>
    <row r="121" spans="1:245" ht="15" hidden="1">
      <c r="A121" s="85"/>
      <c r="B121" s="205" t="s">
        <v>172</v>
      </c>
      <c r="C121" s="85">
        <v>5.2783333333333333</v>
      </c>
      <c r="D121" s="85">
        <v>45.998333333333335</v>
      </c>
      <c r="E121" s="206">
        <v>280.57353458578319</v>
      </c>
      <c r="F121" s="206">
        <v>46.018036958804892</v>
      </c>
      <c r="G121" s="206">
        <v>4.3466670024588936</v>
      </c>
      <c r="H121" s="206">
        <v>-8.3684065664796563</v>
      </c>
      <c r="I121" s="85">
        <v>280.57471712004542</v>
      </c>
      <c r="J121" s="85">
        <v>46.017913319727775</v>
      </c>
      <c r="K121" s="85">
        <v>6879.4444710831394</v>
      </c>
      <c r="L121" s="206">
        <v>338.82346723834053</v>
      </c>
      <c r="M121" s="85">
        <v>0.18834892460186556</v>
      </c>
      <c r="N121" s="201">
        <v>120.75203520717682</v>
      </c>
      <c r="O121" s="201">
        <v>221.17277666931841</v>
      </c>
      <c r="P121" s="201">
        <v>144.60438827329199</v>
      </c>
      <c r="Q121" s="201">
        <v>23.436848853934954</v>
      </c>
      <c r="R121" s="201">
        <v>-13.505876126891881</v>
      </c>
      <c r="S121" s="201">
        <v>-4.552414432010969</v>
      </c>
      <c r="T121" s="201">
        <v>18.884434421923984</v>
      </c>
      <c r="U121" s="15">
        <v>-3.549694358782178E-3</v>
      </c>
      <c r="V121" s="15">
        <v>21.180082456018255</v>
      </c>
      <c r="W121" s="15">
        <v>221.16755636747166</v>
      </c>
      <c r="X121" s="15">
        <v>297.91035418878892</v>
      </c>
      <c r="Y121" s="15">
        <v>-1.708794891632764</v>
      </c>
      <c r="Z121" s="15">
        <v>219.45876147583888</v>
      </c>
      <c r="AA121" s="15">
        <v>4.1088121421933854</v>
      </c>
      <c r="AB121" s="15">
        <v>23.436848853934954</v>
      </c>
      <c r="AC121" s="15">
        <v>-14.641579053034416</v>
      </c>
      <c r="AD121" s="15">
        <v>-0.58309143423834719</v>
      </c>
      <c r="AE121" s="15">
        <v>-0.77208219952603918</v>
      </c>
      <c r="AF121" s="15">
        <v>217.06080937653178</v>
      </c>
      <c r="AG121" s="15">
        <v>-158.82346723834053</v>
      </c>
      <c r="AH121" s="15">
        <v>164.11572338512769</v>
      </c>
      <c r="AI121" s="15"/>
      <c r="AJ121" s="21"/>
      <c r="AK121" s="21"/>
      <c r="AL121" s="15"/>
      <c r="AM121" s="21"/>
      <c r="AN121" s="21"/>
      <c r="AO121" s="21"/>
      <c r="AP121" s="21"/>
      <c r="AQ121" s="21"/>
      <c r="AR121" s="21"/>
      <c r="AS121" s="15"/>
      <c r="AT121" s="21"/>
      <c r="AU121" s="22"/>
      <c r="AV121" s="21"/>
      <c r="AW121" s="15"/>
      <c r="AX121" s="21"/>
      <c r="AY121" s="15"/>
      <c r="AZ121" s="15"/>
      <c r="BA121" s="15"/>
      <c r="BB121" s="15"/>
      <c r="BC121" s="15"/>
      <c r="BD121" s="19"/>
      <c r="BE121" s="2"/>
      <c r="BF121" s="19"/>
      <c r="BG121" s="2"/>
      <c r="BH121" s="19"/>
      <c r="BI121" s="19"/>
      <c r="BJ121" s="19"/>
      <c r="BK121" s="19"/>
      <c r="BL121" s="19"/>
      <c r="BM121" s="2"/>
      <c r="BN121" s="19"/>
      <c r="BO121" s="19"/>
      <c r="BP121" s="19"/>
      <c r="BQ121" s="19"/>
      <c r="BR121" s="2"/>
      <c r="BS121" s="2"/>
      <c r="BT121" s="2"/>
      <c r="BU121" s="2"/>
      <c r="BV121" s="2"/>
      <c r="BW121" s="2"/>
      <c r="BX121" s="19"/>
      <c r="BY121" s="2"/>
      <c r="BZ121" s="19"/>
      <c r="CA121" s="19"/>
      <c r="CB121" s="19"/>
      <c r="CC121" s="19"/>
      <c r="CD121" s="19"/>
      <c r="CE121" s="19"/>
      <c r="CF121" s="19"/>
      <c r="CG121" s="19"/>
      <c r="CH121" s="19"/>
      <c r="CI121" s="19"/>
      <c r="CJ121" s="19"/>
      <c r="CK121" s="2"/>
      <c r="CL121" s="19"/>
      <c r="CM121" s="19"/>
      <c r="CN121" s="19"/>
      <c r="CO121" s="19"/>
      <c r="CP121" s="19"/>
      <c r="CQ121" s="2"/>
      <c r="CR121" s="19"/>
      <c r="CS121" s="19"/>
      <c r="CT121" s="19"/>
      <c r="CU121" s="19"/>
      <c r="CV121" s="19"/>
      <c r="CW121" s="15"/>
      <c r="CX121" s="15"/>
      <c r="CY121" s="21"/>
      <c r="CZ121" s="15"/>
      <c r="DA121" s="15"/>
      <c r="DB121" s="15"/>
      <c r="DC121" s="15"/>
      <c r="DD121" s="15"/>
      <c r="DE121" s="15"/>
      <c r="DF121" s="15"/>
      <c r="DG121" s="15"/>
      <c r="DH121" s="15"/>
      <c r="DI121" s="15"/>
      <c r="DJ121" s="21"/>
      <c r="DK121" s="21"/>
      <c r="DL121" s="21"/>
      <c r="DM121" s="15"/>
      <c r="DN121" s="21"/>
      <c r="DO121" s="21"/>
      <c r="DP121" s="21"/>
      <c r="DQ121" s="21"/>
      <c r="DR121" s="15"/>
      <c r="DS121" s="15"/>
      <c r="DT121" s="15"/>
      <c r="DU121" s="21"/>
      <c r="DV121" s="21"/>
      <c r="DW121" s="21"/>
      <c r="DX121" s="21"/>
      <c r="DY121" s="10"/>
      <c r="DZ121" s="10"/>
      <c r="EA121" s="10"/>
      <c r="EB121" s="15"/>
      <c r="EC121" s="15"/>
      <c r="ED121" s="15"/>
      <c r="EE121" s="21"/>
      <c r="EF121" s="15"/>
      <c r="EG121" s="15"/>
      <c r="EH121" s="15"/>
      <c r="EI121" s="15"/>
      <c r="EJ121" s="15"/>
      <c r="EK121" s="19"/>
      <c r="EL121" s="19"/>
      <c r="EM121" s="19"/>
      <c r="EN121" s="19"/>
      <c r="EO121" s="2"/>
      <c r="EP121" s="19"/>
      <c r="EQ121" s="19"/>
      <c r="ER121" s="19"/>
      <c r="ES121" s="19"/>
      <c r="ET121" s="2"/>
      <c r="EU121" s="19"/>
      <c r="EV121" s="19"/>
      <c r="EW121" s="19"/>
      <c r="EX121" s="19"/>
      <c r="EY121" s="2"/>
      <c r="EZ121" s="2"/>
      <c r="FA121" s="2"/>
      <c r="FB121" s="19"/>
      <c r="FC121" s="19"/>
      <c r="FD121" s="19"/>
      <c r="FE121" s="19"/>
      <c r="FF121" s="13"/>
      <c r="FG121" s="13"/>
      <c r="FH121" s="13"/>
      <c r="FI121" s="2"/>
      <c r="FJ121" s="2"/>
      <c r="FK121" s="2"/>
      <c r="FL121" s="19"/>
      <c r="FM121" s="2"/>
      <c r="FN121" s="23"/>
      <c r="FO121" s="2"/>
      <c r="FP121" s="23"/>
      <c r="FQ121" s="2"/>
      <c r="FR121" s="19"/>
      <c r="FS121" s="19"/>
      <c r="FT121" s="19"/>
      <c r="FU121" s="19"/>
      <c r="FV121" s="19"/>
      <c r="FW121" s="19"/>
      <c r="FX121" s="19"/>
      <c r="FY121" s="19"/>
      <c r="FZ121" s="19"/>
      <c r="GA121" s="2"/>
      <c r="GB121" s="19"/>
      <c r="GC121" s="19"/>
      <c r="GD121" s="19"/>
      <c r="GE121" s="19"/>
      <c r="GF121" s="19"/>
      <c r="GG121" s="19"/>
      <c r="GH121" s="2"/>
      <c r="GI121" s="2"/>
      <c r="GJ121" s="2"/>
      <c r="GK121" s="19"/>
      <c r="GL121" s="19"/>
      <c r="GM121" s="19"/>
      <c r="GN121" s="19"/>
      <c r="GO121" s="13"/>
      <c r="GP121" s="13"/>
      <c r="GQ121" s="13"/>
      <c r="GR121" s="2"/>
      <c r="GS121" s="2"/>
      <c r="GT121" s="2"/>
      <c r="GU121" s="19"/>
      <c r="GV121" s="2"/>
      <c r="GW121" s="23"/>
      <c r="GX121" s="2"/>
      <c r="GY121" s="23"/>
      <c r="GZ121" s="2"/>
      <c r="HA121" s="19"/>
      <c r="HB121" s="19"/>
      <c r="HC121" s="19"/>
      <c r="HD121" s="19"/>
      <c r="HE121" s="19"/>
      <c r="HF121" s="2"/>
      <c r="HG121" s="19"/>
      <c r="HH121" s="19"/>
      <c r="HI121" s="19"/>
      <c r="HJ121" s="2"/>
      <c r="HK121" s="19"/>
      <c r="HL121" s="19"/>
      <c r="HM121" s="19"/>
      <c r="HN121" s="19"/>
      <c r="HO121" s="19"/>
      <c r="HP121" s="19"/>
      <c r="HQ121" s="2"/>
      <c r="HR121" s="2"/>
      <c r="HS121" s="2"/>
      <c r="HT121" s="2"/>
      <c r="HU121" s="2"/>
      <c r="HV121" s="19"/>
      <c r="HW121" s="19"/>
      <c r="HX121" s="19"/>
      <c r="HY121" s="19"/>
      <c r="HZ121" s="13"/>
      <c r="IA121" s="13"/>
      <c r="IB121" s="13"/>
      <c r="IC121" s="2"/>
      <c r="ID121" s="2"/>
      <c r="IE121" s="2"/>
      <c r="IF121" s="19"/>
      <c r="IG121" s="2"/>
      <c r="IH121" s="23"/>
      <c r="II121" s="2"/>
      <c r="IJ121" s="23"/>
      <c r="IK121" s="2"/>
    </row>
    <row r="122" spans="1:245" ht="15" hidden="1">
      <c r="A122" s="85"/>
      <c r="B122" s="205" t="s">
        <v>173</v>
      </c>
      <c r="C122" s="85">
        <v>20.69</v>
      </c>
      <c r="D122" s="85">
        <v>45.281666666666666</v>
      </c>
      <c r="E122" s="206">
        <v>49.371095171414026</v>
      </c>
      <c r="F122" s="206">
        <v>45.349592864981965</v>
      </c>
      <c r="G122" s="206">
        <v>4.3466670024588936</v>
      </c>
      <c r="H122" s="206">
        <v>-8.3684065664796563</v>
      </c>
      <c r="I122" s="85">
        <v>49.372521066077724</v>
      </c>
      <c r="J122" s="85">
        <v>45.349082548977144</v>
      </c>
      <c r="K122" s="85">
        <v>6879.4454597956783</v>
      </c>
      <c r="L122" s="206">
        <v>338.46655620262027</v>
      </c>
      <c r="M122" s="85">
        <v>0.18834895167133958</v>
      </c>
      <c r="N122" s="201">
        <v>120.75198285112552</v>
      </c>
      <c r="O122" s="201">
        <v>221.17375119122153</v>
      </c>
      <c r="P122" s="201">
        <v>144.61741594169871</v>
      </c>
      <c r="Q122" s="201">
        <v>23.436848853582674</v>
      </c>
      <c r="R122" s="201">
        <v>-13.505843931631491</v>
      </c>
      <c r="S122" s="201">
        <v>-4.5523833398636118</v>
      </c>
      <c r="T122" s="201">
        <v>18.884465513719064</v>
      </c>
      <c r="U122" s="15">
        <v>-3.5496852381137747E-3</v>
      </c>
      <c r="V122" s="15">
        <v>21.536993482617845</v>
      </c>
      <c r="W122" s="15">
        <v>221.1685308894148</v>
      </c>
      <c r="X122" s="15">
        <v>297.91132866413773</v>
      </c>
      <c r="Y122" s="15">
        <v>-1.7087800279181675</v>
      </c>
      <c r="Z122" s="15">
        <v>219.45975086149662</v>
      </c>
      <c r="AA122" s="15">
        <v>4.1088170381358688</v>
      </c>
      <c r="AB122" s="15">
        <v>23.436848853582674</v>
      </c>
      <c r="AC122" s="15">
        <v>-14.64189307539794</v>
      </c>
      <c r="AD122" s="15">
        <v>-0.58310366656567725</v>
      </c>
      <c r="AE122" s="15">
        <v>-0.77207122518158011</v>
      </c>
      <c r="AF122" s="15">
        <v>217.06177909706508</v>
      </c>
      <c r="AG122" s="15">
        <v>-158.46655620262027</v>
      </c>
      <c r="AH122" s="15">
        <v>164.47166470031465</v>
      </c>
      <c r="AI122" s="15"/>
      <c r="AJ122" s="21"/>
      <c r="AK122" s="21"/>
      <c r="AL122" s="15"/>
      <c r="AM122" s="21"/>
      <c r="AN122" s="21"/>
      <c r="AO122" s="21"/>
      <c r="AP122" s="21"/>
      <c r="AQ122" s="21"/>
      <c r="AR122" s="21"/>
      <c r="AS122" s="15"/>
      <c r="AT122" s="21"/>
      <c r="AU122" s="22"/>
      <c r="AV122" s="21"/>
      <c r="AW122" s="15"/>
      <c r="AX122" s="21"/>
      <c r="AY122" s="15"/>
      <c r="AZ122" s="15"/>
      <c r="BA122" s="15"/>
      <c r="BB122" s="15"/>
      <c r="BC122" s="15"/>
      <c r="BD122" s="19"/>
      <c r="BE122" s="2"/>
      <c r="BF122" s="19"/>
      <c r="BG122" s="2"/>
      <c r="BH122" s="19"/>
      <c r="BI122" s="19"/>
      <c r="BJ122" s="19"/>
      <c r="BK122" s="19"/>
      <c r="BL122" s="19"/>
      <c r="BM122" s="2"/>
      <c r="BN122" s="19"/>
      <c r="BO122" s="19"/>
      <c r="BP122" s="19"/>
      <c r="BQ122" s="19"/>
      <c r="BR122" s="2"/>
      <c r="BS122" s="2"/>
      <c r="BT122" s="2"/>
      <c r="BU122" s="2"/>
      <c r="BV122" s="2"/>
      <c r="BW122" s="2"/>
      <c r="BX122" s="19"/>
      <c r="BY122" s="2"/>
      <c r="BZ122" s="19"/>
      <c r="CA122" s="19"/>
      <c r="CB122" s="19"/>
      <c r="CC122" s="19"/>
      <c r="CD122" s="19"/>
      <c r="CE122" s="19"/>
      <c r="CF122" s="19"/>
      <c r="CG122" s="19"/>
      <c r="CH122" s="19"/>
      <c r="CI122" s="19"/>
      <c r="CJ122" s="19"/>
      <c r="CK122" s="2"/>
      <c r="CL122" s="19"/>
      <c r="CM122" s="19"/>
      <c r="CN122" s="19"/>
      <c r="CO122" s="19"/>
      <c r="CP122" s="19"/>
      <c r="CQ122" s="2"/>
      <c r="CR122" s="19"/>
      <c r="CS122" s="19"/>
      <c r="CT122" s="19"/>
      <c r="CU122" s="19"/>
      <c r="CV122" s="19"/>
      <c r="CW122" s="15"/>
      <c r="CX122" s="15"/>
      <c r="CY122" s="21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21"/>
      <c r="DK122" s="21"/>
      <c r="DL122" s="21"/>
      <c r="DM122" s="15"/>
      <c r="DN122" s="21"/>
      <c r="DO122" s="21"/>
      <c r="DP122" s="21"/>
      <c r="DQ122" s="21"/>
      <c r="DR122" s="15"/>
      <c r="DS122" s="15"/>
      <c r="DT122" s="15"/>
      <c r="DU122" s="21"/>
      <c r="DV122" s="21"/>
      <c r="DW122" s="21"/>
      <c r="DX122" s="21"/>
      <c r="DY122" s="10"/>
      <c r="DZ122" s="10"/>
      <c r="EA122" s="10"/>
      <c r="EB122" s="15"/>
      <c r="EC122" s="15"/>
      <c r="ED122" s="15"/>
      <c r="EE122" s="21"/>
      <c r="EF122" s="15"/>
      <c r="EG122" s="15"/>
      <c r="EH122" s="15"/>
      <c r="EI122" s="15"/>
      <c r="EJ122" s="15"/>
      <c r="EK122" s="19"/>
      <c r="EL122" s="19"/>
      <c r="EM122" s="19"/>
      <c r="EN122" s="19"/>
      <c r="EO122" s="2"/>
      <c r="EP122" s="19"/>
      <c r="EQ122" s="19"/>
      <c r="ER122" s="19"/>
      <c r="ES122" s="19"/>
      <c r="ET122" s="2"/>
      <c r="EU122" s="19"/>
      <c r="EV122" s="19"/>
      <c r="EW122" s="19"/>
      <c r="EX122" s="19"/>
      <c r="EY122" s="2"/>
      <c r="EZ122" s="2"/>
      <c r="FA122" s="2"/>
      <c r="FB122" s="19"/>
      <c r="FC122" s="19"/>
      <c r="FD122" s="19"/>
      <c r="FE122" s="19"/>
      <c r="FF122" s="13"/>
      <c r="FG122" s="13"/>
      <c r="FH122" s="13"/>
      <c r="FI122" s="2"/>
      <c r="FJ122" s="2"/>
      <c r="FK122" s="2"/>
      <c r="FL122" s="19"/>
      <c r="FM122" s="2"/>
      <c r="FN122" s="23"/>
      <c r="FO122" s="2"/>
      <c r="FP122" s="23"/>
      <c r="FQ122" s="2"/>
      <c r="FR122" s="19"/>
      <c r="FS122" s="19"/>
      <c r="FT122" s="19"/>
      <c r="FU122" s="19"/>
      <c r="FV122" s="19"/>
      <c r="FW122" s="19"/>
      <c r="FX122" s="19"/>
      <c r="FY122" s="19"/>
      <c r="FZ122" s="19"/>
      <c r="GA122" s="2"/>
      <c r="GB122" s="19"/>
      <c r="GC122" s="19"/>
      <c r="GD122" s="19"/>
      <c r="GE122" s="19"/>
      <c r="GF122" s="19"/>
      <c r="GG122" s="19"/>
      <c r="GH122" s="2"/>
      <c r="GI122" s="2"/>
      <c r="GJ122" s="2"/>
      <c r="GK122" s="19"/>
      <c r="GL122" s="19"/>
      <c r="GM122" s="19"/>
      <c r="GN122" s="19"/>
      <c r="GO122" s="13"/>
      <c r="GP122" s="13"/>
      <c r="GQ122" s="13"/>
      <c r="GR122" s="2"/>
      <c r="GS122" s="2"/>
      <c r="GT122" s="2"/>
      <c r="GU122" s="19"/>
      <c r="GV122" s="2"/>
      <c r="GW122" s="23"/>
      <c r="GX122" s="2"/>
      <c r="GY122" s="23"/>
      <c r="GZ122" s="2"/>
      <c r="HA122" s="19"/>
      <c r="HB122" s="19"/>
      <c r="HC122" s="19"/>
      <c r="HD122" s="19"/>
      <c r="HE122" s="19"/>
      <c r="HF122" s="2"/>
      <c r="HG122" s="19"/>
      <c r="HH122" s="19"/>
      <c r="HI122" s="19"/>
      <c r="HJ122" s="2"/>
      <c r="HK122" s="19"/>
      <c r="HL122" s="19"/>
      <c r="HM122" s="19"/>
      <c r="HN122" s="19"/>
      <c r="HO122" s="19"/>
      <c r="HP122" s="19"/>
      <c r="HQ122" s="2"/>
      <c r="HR122" s="2"/>
      <c r="HS122" s="2"/>
      <c r="HT122" s="2"/>
      <c r="HU122" s="2"/>
      <c r="HV122" s="19"/>
      <c r="HW122" s="19"/>
      <c r="HX122" s="19"/>
      <c r="HY122" s="19"/>
      <c r="HZ122" s="13"/>
      <c r="IA122" s="13"/>
      <c r="IB122" s="13"/>
      <c r="IC122" s="2"/>
      <c r="ID122" s="2"/>
      <c r="IE122" s="2"/>
      <c r="IF122" s="19"/>
      <c r="IG122" s="2"/>
      <c r="IH122" s="23"/>
      <c r="II122" s="2"/>
      <c r="IJ122" s="23"/>
      <c r="IK122" s="2"/>
    </row>
    <row r="123" spans="1:245" ht="15" hidden="1">
      <c r="A123" s="85"/>
      <c r="B123" s="205" t="s">
        <v>174</v>
      </c>
      <c r="C123" s="85">
        <v>11.817499999999999</v>
      </c>
      <c r="D123" s="85">
        <v>14.571666666666667</v>
      </c>
      <c r="E123" s="206">
        <v>182.49044302366286</v>
      </c>
      <c r="F123" s="206">
        <v>14.466873787050419</v>
      </c>
      <c r="G123" s="206">
        <v>4.3466670024588936</v>
      </c>
      <c r="H123" s="206">
        <v>-8.3684065664796563</v>
      </c>
      <c r="I123" s="85">
        <v>182.49044026812356</v>
      </c>
      <c r="J123" s="85">
        <v>14.465917970682481</v>
      </c>
      <c r="K123" s="85">
        <v>6879.4454780896949</v>
      </c>
      <c r="L123" s="206">
        <v>338.45995232509449</v>
      </c>
      <c r="M123" s="85">
        <v>0.18834895217220246</v>
      </c>
      <c r="N123" s="201">
        <v>120.75198188238849</v>
      </c>
      <c r="O123" s="201">
        <v>221.17376922267067</v>
      </c>
      <c r="P123" s="201">
        <v>144.61765699091484</v>
      </c>
      <c r="Q123" s="201">
        <v>23.436848853576155</v>
      </c>
      <c r="R123" s="201">
        <v>-13.505843335517838</v>
      </c>
      <c r="S123" s="201">
        <v>-4.552382764634709</v>
      </c>
      <c r="T123" s="201">
        <v>18.884466088941444</v>
      </c>
      <c r="U123" s="15">
        <v>-3.5496850692491528E-3</v>
      </c>
      <c r="V123" s="15">
        <v>21.543597359974758</v>
      </c>
      <c r="W123" s="15">
        <v>221.16854892086485</v>
      </c>
      <c r="X123" s="15">
        <v>297.91134669472558</v>
      </c>
      <c r="Y123" s="15">
        <v>-1.7087797528920394</v>
      </c>
      <c r="Z123" s="15">
        <v>219.45976916797281</v>
      </c>
      <c r="AA123" s="15">
        <v>4.1088171286938469</v>
      </c>
      <c r="AB123" s="15">
        <v>23.436848853576155</v>
      </c>
      <c r="AC123" s="15">
        <v>-14.641898885675728</v>
      </c>
      <c r="AD123" s="15">
        <v>-0.58310389289722597</v>
      </c>
      <c r="AE123" s="15">
        <v>-0.77207102212251977</v>
      </c>
      <c r="AF123" s="15">
        <v>217.06179703970619</v>
      </c>
      <c r="AG123" s="15">
        <v>-158.45995232509449</v>
      </c>
      <c r="AH123" s="15">
        <v>164.47825063519929</v>
      </c>
      <c r="AI123" s="15"/>
      <c r="AJ123" s="21"/>
      <c r="AK123" s="21"/>
      <c r="AL123" s="15"/>
      <c r="AM123" s="21"/>
      <c r="AN123" s="21"/>
      <c r="AO123" s="21"/>
      <c r="AP123" s="21"/>
      <c r="AQ123" s="21"/>
      <c r="AR123" s="21"/>
      <c r="AS123" s="15"/>
      <c r="AT123" s="21"/>
      <c r="AU123" s="22"/>
      <c r="AV123" s="21"/>
      <c r="AW123" s="15"/>
      <c r="AX123" s="21"/>
      <c r="AY123" s="15"/>
      <c r="AZ123" s="15"/>
      <c r="BA123" s="15"/>
      <c r="BB123" s="15"/>
      <c r="BC123" s="15"/>
      <c r="BD123" s="19"/>
      <c r="BE123" s="2"/>
      <c r="BF123" s="19"/>
      <c r="BG123" s="2"/>
      <c r="BH123" s="19"/>
      <c r="BI123" s="19"/>
      <c r="BJ123" s="19"/>
      <c r="BK123" s="19"/>
      <c r="BL123" s="19"/>
      <c r="BM123" s="2"/>
      <c r="BN123" s="19"/>
      <c r="BO123" s="19"/>
      <c r="BP123" s="19"/>
      <c r="BQ123" s="19"/>
      <c r="BR123" s="2"/>
      <c r="BS123" s="2"/>
      <c r="BT123" s="2"/>
      <c r="BU123" s="2"/>
      <c r="BV123" s="2"/>
      <c r="BW123" s="2"/>
      <c r="BX123" s="19"/>
      <c r="BY123" s="2"/>
      <c r="BZ123" s="19"/>
      <c r="CA123" s="19"/>
      <c r="CB123" s="19"/>
      <c r="CC123" s="19"/>
      <c r="CD123" s="19"/>
      <c r="CE123" s="19"/>
      <c r="CF123" s="19"/>
      <c r="CG123" s="19"/>
      <c r="CH123" s="19"/>
      <c r="CI123" s="19"/>
      <c r="CJ123" s="19"/>
      <c r="CK123" s="2"/>
      <c r="CL123" s="19"/>
      <c r="CM123" s="19"/>
      <c r="CN123" s="19"/>
      <c r="CO123" s="19"/>
      <c r="CP123" s="19"/>
      <c r="CQ123" s="2"/>
      <c r="CR123" s="19"/>
      <c r="CS123" s="19"/>
      <c r="CT123" s="19"/>
      <c r="CU123" s="19"/>
      <c r="CV123" s="19"/>
      <c r="CW123" s="15"/>
      <c r="CX123" s="15"/>
      <c r="CY123" s="21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21"/>
      <c r="DK123" s="21"/>
      <c r="DL123" s="21"/>
      <c r="DM123" s="15"/>
      <c r="DN123" s="21"/>
      <c r="DO123" s="21"/>
      <c r="DP123" s="21"/>
      <c r="DQ123" s="21"/>
      <c r="DR123" s="15"/>
      <c r="DS123" s="15"/>
      <c r="DT123" s="15"/>
      <c r="DU123" s="21"/>
      <c r="DV123" s="21"/>
      <c r="DW123" s="21"/>
      <c r="DX123" s="21"/>
      <c r="DY123" s="10"/>
      <c r="DZ123" s="10"/>
      <c r="EA123" s="10"/>
      <c r="EB123" s="15"/>
      <c r="EC123" s="15"/>
      <c r="ED123" s="15"/>
      <c r="EE123" s="21"/>
      <c r="EF123" s="15"/>
      <c r="EG123" s="15"/>
      <c r="EH123" s="15"/>
      <c r="EI123" s="15"/>
      <c r="EJ123" s="15"/>
      <c r="EK123" s="19"/>
      <c r="EL123" s="19"/>
      <c r="EM123" s="19"/>
      <c r="EN123" s="19"/>
      <c r="EO123" s="2"/>
      <c r="EP123" s="19"/>
      <c r="EQ123" s="19"/>
      <c r="ER123" s="19"/>
      <c r="ES123" s="19"/>
      <c r="ET123" s="2"/>
      <c r="EU123" s="19"/>
      <c r="EV123" s="19"/>
      <c r="EW123" s="19"/>
      <c r="EX123" s="19"/>
      <c r="EY123" s="2"/>
      <c r="EZ123" s="2"/>
      <c r="FA123" s="2"/>
      <c r="FB123" s="19"/>
      <c r="FC123" s="19"/>
      <c r="FD123" s="19"/>
      <c r="FE123" s="19"/>
      <c r="FF123" s="13"/>
      <c r="FG123" s="13"/>
      <c r="FH123" s="13"/>
      <c r="FI123" s="2"/>
      <c r="FJ123" s="2"/>
      <c r="FK123" s="2"/>
      <c r="FL123" s="19"/>
      <c r="FM123" s="2"/>
      <c r="FN123" s="23"/>
      <c r="FO123" s="2"/>
      <c r="FP123" s="23"/>
      <c r="FQ123" s="2"/>
      <c r="FR123" s="19"/>
      <c r="FS123" s="19"/>
      <c r="FT123" s="19"/>
      <c r="FU123" s="19"/>
      <c r="FV123" s="19"/>
      <c r="FW123" s="19"/>
      <c r="FX123" s="19"/>
      <c r="FY123" s="19"/>
      <c r="FZ123" s="19"/>
      <c r="GA123" s="2"/>
      <c r="GB123" s="19"/>
      <c r="GC123" s="19"/>
      <c r="GD123" s="19"/>
      <c r="GE123" s="19"/>
      <c r="GF123" s="19"/>
      <c r="GG123" s="19"/>
      <c r="GH123" s="2"/>
      <c r="GI123" s="2"/>
      <c r="GJ123" s="2"/>
      <c r="GK123" s="19"/>
      <c r="GL123" s="19"/>
      <c r="GM123" s="19"/>
      <c r="GN123" s="19"/>
      <c r="GO123" s="13"/>
      <c r="GP123" s="13"/>
      <c r="GQ123" s="13"/>
      <c r="GR123" s="2"/>
      <c r="GS123" s="2"/>
      <c r="GT123" s="2"/>
      <c r="GU123" s="19"/>
      <c r="GV123" s="2"/>
      <c r="GW123" s="23"/>
      <c r="GX123" s="2"/>
      <c r="GY123" s="23"/>
      <c r="GZ123" s="2"/>
      <c r="HA123" s="19"/>
      <c r="HB123" s="19"/>
      <c r="HC123" s="19"/>
      <c r="HD123" s="19"/>
      <c r="HE123" s="19"/>
      <c r="HF123" s="2"/>
      <c r="HG123" s="19"/>
      <c r="HH123" s="19"/>
      <c r="HI123" s="19"/>
      <c r="HJ123" s="2"/>
      <c r="HK123" s="19"/>
      <c r="HL123" s="19"/>
      <c r="HM123" s="19"/>
      <c r="HN123" s="19"/>
      <c r="HO123" s="19"/>
      <c r="HP123" s="19"/>
      <c r="HQ123" s="2"/>
      <c r="HR123" s="2"/>
      <c r="HS123" s="2"/>
      <c r="HT123" s="2"/>
      <c r="HU123" s="2"/>
      <c r="HV123" s="19"/>
      <c r="HW123" s="19"/>
      <c r="HX123" s="19"/>
      <c r="HY123" s="19"/>
      <c r="HZ123" s="13"/>
      <c r="IA123" s="13"/>
      <c r="IB123" s="13"/>
      <c r="IC123" s="2"/>
      <c r="ID123" s="2"/>
      <c r="IE123" s="2"/>
      <c r="IF123" s="19"/>
      <c r="IG123" s="2"/>
      <c r="IH123" s="23"/>
      <c r="II123" s="2"/>
      <c r="IJ123" s="23"/>
      <c r="IK123" s="2"/>
    </row>
    <row r="124" spans="1:245" ht="15" hidden="1">
      <c r="A124" s="85"/>
      <c r="B124" s="205" t="s">
        <v>175</v>
      </c>
      <c r="C124" s="85">
        <v>0.72611111111111115</v>
      </c>
      <c r="D124" s="85">
        <v>-17.989999999999998</v>
      </c>
      <c r="E124" s="206">
        <v>348.8672933190665</v>
      </c>
      <c r="F124" s="206">
        <v>-17.886977271365563</v>
      </c>
      <c r="G124" s="206">
        <v>4.3466670024588936</v>
      </c>
      <c r="H124" s="206">
        <v>-8.3684065664796563</v>
      </c>
      <c r="I124" s="85">
        <v>348.86677730179576</v>
      </c>
      <c r="J124" s="85">
        <v>-17.886535075204218</v>
      </c>
      <c r="K124" s="85">
        <v>6879.9558435150439</v>
      </c>
      <c r="L124" s="206">
        <v>154.2253588619642</v>
      </c>
      <c r="M124" s="85">
        <v>0.18836292521601763</v>
      </c>
      <c r="N124" s="201">
        <v>120.724956111669</v>
      </c>
      <c r="O124" s="201">
        <v>221.67680955646574</v>
      </c>
      <c r="P124" s="201">
        <v>151.342434183156</v>
      </c>
      <c r="Q124" s="201">
        <v>23.436848671732957</v>
      </c>
      <c r="R124" s="201">
        <v>-13.483620370168676</v>
      </c>
      <c r="S124" s="201">
        <v>-4.5374522755052089</v>
      </c>
      <c r="T124" s="201">
        <v>18.899396396227747</v>
      </c>
      <c r="U124" s="15">
        <v>-3.543528285387156E-3</v>
      </c>
      <c r="V124" s="15">
        <v>205.77818466632118</v>
      </c>
      <c r="W124" s="15">
        <v>221.67158927541004</v>
      </c>
      <c r="X124" s="15">
        <v>298.41436299768066</v>
      </c>
      <c r="Y124" s="15">
        <v>-1.7010394129344373</v>
      </c>
      <c r="Z124" s="15">
        <v>219.97054986247559</v>
      </c>
      <c r="AA124" s="15">
        <v>4.1109044146411158</v>
      </c>
      <c r="AB124" s="15">
        <v>23.436848671732957</v>
      </c>
      <c r="AC124" s="15">
        <v>-14.80347790612773</v>
      </c>
      <c r="AD124" s="15">
        <v>-0.58939565907644931</v>
      </c>
      <c r="AE124" s="15">
        <v>-0.76637473594091476</v>
      </c>
      <c r="AF124" s="15">
        <v>217.56279701874809</v>
      </c>
      <c r="AG124" s="15">
        <v>25.774641138035804</v>
      </c>
      <c r="AH124" s="15">
        <v>348.21184411928772</v>
      </c>
      <c r="AI124" s="15"/>
      <c r="AJ124" s="21"/>
      <c r="AK124" s="21"/>
      <c r="AL124" s="15"/>
      <c r="AM124" s="21"/>
      <c r="AN124" s="21"/>
      <c r="AO124" s="21"/>
      <c r="AP124" s="21"/>
      <c r="AQ124" s="21"/>
      <c r="AR124" s="21"/>
      <c r="AS124" s="15"/>
      <c r="AT124" s="21"/>
      <c r="AU124" s="22"/>
      <c r="AV124" s="21"/>
      <c r="AW124" s="15"/>
      <c r="AX124" s="21"/>
      <c r="AY124" s="15"/>
      <c r="AZ124" s="15"/>
      <c r="BA124" s="15"/>
      <c r="BB124" s="15"/>
      <c r="BC124" s="15"/>
      <c r="BD124" s="19"/>
      <c r="BE124" s="2"/>
      <c r="BF124" s="19"/>
      <c r="BG124" s="2"/>
      <c r="BH124" s="19"/>
      <c r="BI124" s="19"/>
      <c r="BJ124" s="19"/>
      <c r="BK124" s="19"/>
      <c r="BL124" s="19"/>
      <c r="BM124" s="2"/>
      <c r="BN124" s="19"/>
      <c r="BO124" s="19"/>
      <c r="BP124" s="19"/>
      <c r="BQ124" s="19"/>
      <c r="BR124" s="2"/>
      <c r="BS124" s="2"/>
      <c r="BT124" s="2"/>
      <c r="BU124" s="2"/>
      <c r="BV124" s="2"/>
      <c r="BW124" s="2"/>
      <c r="BX124" s="19"/>
      <c r="BY124" s="2"/>
      <c r="BZ124" s="19"/>
      <c r="CA124" s="19"/>
      <c r="CB124" s="19"/>
      <c r="CC124" s="19"/>
      <c r="CD124" s="19"/>
      <c r="CE124" s="19"/>
      <c r="CF124" s="19"/>
      <c r="CG124" s="19"/>
      <c r="CH124" s="19"/>
      <c r="CI124" s="19"/>
      <c r="CJ124" s="19"/>
      <c r="CK124" s="2"/>
      <c r="CL124" s="19"/>
      <c r="CM124" s="19"/>
      <c r="CN124" s="19"/>
      <c r="CO124" s="19"/>
      <c r="CP124" s="19"/>
      <c r="CQ124" s="2"/>
      <c r="CR124" s="19"/>
      <c r="CS124" s="19"/>
      <c r="CT124" s="19"/>
      <c r="CU124" s="19"/>
      <c r="CV124" s="19"/>
      <c r="CW124" s="15"/>
      <c r="CX124" s="15"/>
      <c r="CY124" s="21"/>
      <c r="CZ124" s="15"/>
      <c r="DA124" s="15"/>
      <c r="DB124" s="15"/>
      <c r="DC124" s="15"/>
      <c r="DD124" s="15"/>
      <c r="DE124" s="15"/>
      <c r="DF124" s="15"/>
      <c r="DG124" s="15"/>
      <c r="DH124" s="15"/>
      <c r="DI124" s="15"/>
      <c r="DJ124" s="21"/>
      <c r="DK124" s="21"/>
      <c r="DL124" s="21"/>
      <c r="DM124" s="15"/>
      <c r="DN124" s="21"/>
      <c r="DO124" s="21"/>
      <c r="DP124" s="21"/>
      <c r="DQ124" s="21"/>
      <c r="DR124" s="15"/>
      <c r="DS124" s="15"/>
      <c r="DT124" s="15"/>
      <c r="DU124" s="21"/>
      <c r="DV124" s="21"/>
      <c r="DW124" s="21"/>
      <c r="DX124" s="21"/>
      <c r="DY124" s="10"/>
      <c r="DZ124" s="10"/>
      <c r="EA124" s="10"/>
      <c r="EB124" s="15"/>
      <c r="EC124" s="15"/>
      <c r="ED124" s="15"/>
      <c r="EE124" s="21"/>
      <c r="EF124" s="15"/>
      <c r="EG124" s="15"/>
      <c r="EH124" s="15"/>
      <c r="EI124" s="15"/>
      <c r="EJ124" s="15"/>
      <c r="EK124" s="19"/>
      <c r="EL124" s="19"/>
      <c r="EM124" s="19"/>
      <c r="EN124" s="19"/>
      <c r="EO124" s="2"/>
      <c r="EP124" s="19"/>
      <c r="EQ124" s="19"/>
      <c r="ER124" s="19"/>
      <c r="ES124" s="19"/>
      <c r="ET124" s="2"/>
      <c r="EU124" s="19"/>
      <c r="EV124" s="19"/>
      <c r="EW124" s="19"/>
      <c r="EX124" s="19"/>
      <c r="EY124" s="2"/>
      <c r="EZ124" s="2"/>
      <c r="FA124" s="2"/>
      <c r="FB124" s="19"/>
      <c r="FC124" s="19"/>
      <c r="FD124" s="19"/>
      <c r="FE124" s="19"/>
      <c r="FF124" s="13"/>
      <c r="FG124" s="13"/>
      <c r="FH124" s="13"/>
      <c r="FI124" s="2"/>
      <c r="FJ124" s="2"/>
      <c r="FK124" s="2"/>
      <c r="FL124" s="19"/>
      <c r="FM124" s="2"/>
      <c r="FN124" s="23"/>
      <c r="FO124" s="2"/>
      <c r="FP124" s="23"/>
      <c r="FQ124" s="2"/>
      <c r="FR124" s="19"/>
      <c r="FS124" s="19"/>
      <c r="FT124" s="19"/>
      <c r="FU124" s="19"/>
      <c r="FV124" s="19"/>
      <c r="FW124" s="19"/>
      <c r="FX124" s="19"/>
      <c r="FY124" s="19"/>
      <c r="FZ124" s="19"/>
      <c r="GA124" s="2"/>
      <c r="GB124" s="19"/>
      <c r="GC124" s="19"/>
      <c r="GD124" s="19"/>
      <c r="GE124" s="19"/>
      <c r="GF124" s="19"/>
      <c r="GG124" s="19"/>
      <c r="GH124" s="2"/>
      <c r="GI124" s="2"/>
      <c r="GJ124" s="2"/>
      <c r="GK124" s="19"/>
      <c r="GL124" s="19"/>
      <c r="GM124" s="19"/>
      <c r="GN124" s="19"/>
      <c r="GO124" s="13"/>
      <c r="GP124" s="13"/>
      <c r="GQ124" s="13"/>
      <c r="GR124" s="2"/>
      <c r="GS124" s="2"/>
      <c r="GT124" s="2"/>
      <c r="GU124" s="19"/>
      <c r="GV124" s="2"/>
      <c r="GW124" s="23"/>
      <c r="GX124" s="2"/>
      <c r="GY124" s="23"/>
      <c r="GZ124" s="2"/>
      <c r="HA124" s="19"/>
      <c r="HB124" s="19"/>
      <c r="HC124" s="19"/>
      <c r="HD124" s="19"/>
      <c r="HE124" s="19"/>
      <c r="HF124" s="2"/>
      <c r="HG124" s="19"/>
      <c r="HH124" s="19"/>
      <c r="HI124" s="19"/>
      <c r="HJ124" s="2"/>
      <c r="HK124" s="19"/>
      <c r="HL124" s="19"/>
      <c r="HM124" s="19"/>
      <c r="HN124" s="19"/>
      <c r="HO124" s="19"/>
      <c r="HP124" s="19"/>
      <c r="HQ124" s="2"/>
      <c r="HR124" s="2"/>
      <c r="HS124" s="2"/>
      <c r="HT124" s="2"/>
      <c r="HU124" s="2"/>
      <c r="HV124" s="19"/>
      <c r="HW124" s="19"/>
      <c r="HX124" s="19"/>
      <c r="HY124" s="19"/>
      <c r="HZ124" s="13"/>
      <c r="IA124" s="13"/>
      <c r="IB124" s="13"/>
      <c r="IC124" s="2"/>
      <c r="ID124" s="2"/>
      <c r="IE124" s="2"/>
      <c r="IF124" s="19"/>
      <c r="IG124" s="2"/>
      <c r="IH124" s="23"/>
      <c r="II124" s="2"/>
      <c r="IJ124" s="23"/>
      <c r="IK124" s="2"/>
    </row>
    <row r="125" spans="1:245" ht="15" hidden="1">
      <c r="A125" s="85"/>
      <c r="B125" s="205" t="s">
        <v>176</v>
      </c>
      <c r="C125" s="85">
        <v>11.061944444444444</v>
      </c>
      <c r="D125" s="85">
        <v>61.74666666666667</v>
      </c>
      <c r="E125" s="206">
        <v>193.79190381112451</v>
      </c>
      <c r="F125" s="206">
        <v>61.644901871846557</v>
      </c>
      <c r="G125" s="206">
        <v>4.3466670024588936</v>
      </c>
      <c r="H125" s="206">
        <v>-8.3684065664796563</v>
      </c>
      <c r="I125" s="85">
        <v>193.78758835093106</v>
      </c>
      <c r="J125" s="85">
        <v>61.64398996312778</v>
      </c>
      <c r="K125" s="85">
        <v>6879.9644310380572</v>
      </c>
      <c r="L125" s="206">
        <v>151.12538630794734</v>
      </c>
      <c r="M125" s="85">
        <v>0.18836316032958406</v>
      </c>
      <c r="N125" s="201">
        <v>120.72450136999473</v>
      </c>
      <c r="O125" s="201">
        <v>221.68527382584762</v>
      </c>
      <c r="P125" s="201">
        <v>151.45558679112582</v>
      </c>
      <c r="Q125" s="201">
        <v>23.436848668673221</v>
      </c>
      <c r="R125" s="201">
        <v>-13.483154539979189</v>
      </c>
      <c r="S125" s="201">
        <v>-4.5372235228039139</v>
      </c>
      <c r="T125" s="201">
        <v>18.899625145869308</v>
      </c>
      <c r="U125" s="15">
        <v>-3.5434010206791145E-3</v>
      </c>
      <c r="V125" s="15">
        <v>208.87815709307336</v>
      </c>
      <c r="W125" s="15">
        <v>221.68005354514025</v>
      </c>
      <c r="X125" s="15">
        <v>298.42282686271392</v>
      </c>
      <c r="Y125" s="15">
        <v>-1.7009080159742245</v>
      </c>
      <c r="Z125" s="15">
        <v>219.97914552916603</v>
      </c>
      <c r="AA125" s="15">
        <v>4.1109320093371426</v>
      </c>
      <c r="AB125" s="15">
        <v>23.436848668673221</v>
      </c>
      <c r="AC125" s="15">
        <v>-14.806187803255357</v>
      </c>
      <c r="AD125" s="15">
        <v>-0.5895011406181524</v>
      </c>
      <c r="AE125" s="15">
        <v>-0.76627835367767394</v>
      </c>
      <c r="AF125" s="15">
        <v>217.57123445049649</v>
      </c>
      <c r="AG125" s="15">
        <v>28.874613692052662</v>
      </c>
      <c r="AH125" s="15">
        <v>351.30337924155617</v>
      </c>
      <c r="AI125" s="15"/>
      <c r="AJ125" s="21"/>
      <c r="AK125" s="21"/>
      <c r="AL125" s="15"/>
      <c r="AM125" s="21"/>
      <c r="AN125" s="21"/>
      <c r="AO125" s="21"/>
      <c r="AP125" s="21"/>
      <c r="AQ125" s="21"/>
      <c r="AR125" s="21"/>
      <c r="AS125" s="15"/>
      <c r="AT125" s="21"/>
      <c r="AU125" s="22"/>
      <c r="AV125" s="21"/>
      <c r="AW125" s="15"/>
      <c r="AX125" s="21"/>
      <c r="AY125" s="15"/>
      <c r="AZ125" s="15"/>
      <c r="BA125" s="15"/>
      <c r="BB125" s="15"/>
      <c r="BC125" s="15"/>
      <c r="BD125" s="19"/>
      <c r="BE125" s="2"/>
      <c r="BF125" s="19"/>
      <c r="BG125" s="2"/>
      <c r="BH125" s="19"/>
      <c r="BI125" s="19"/>
      <c r="BJ125" s="19"/>
      <c r="BK125" s="19"/>
      <c r="BL125" s="19"/>
      <c r="BM125" s="2"/>
      <c r="BN125" s="19"/>
      <c r="BO125" s="19"/>
      <c r="BP125" s="19"/>
      <c r="BQ125" s="19"/>
      <c r="BR125" s="2"/>
      <c r="BS125" s="2"/>
      <c r="BT125" s="2"/>
      <c r="BU125" s="2"/>
      <c r="BV125" s="2"/>
      <c r="BW125" s="2"/>
      <c r="BX125" s="19"/>
      <c r="BY125" s="2"/>
      <c r="BZ125" s="19"/>
      <c r="CA125" s="19"/>
      <c r="CB125" s="19"/>
      <c r="CC125" s="19"/>
      <c r="CD125" s="19"/>
      <c r="CE125" s="19"/>
      <c r="CF125" s="19"/>
      <c r="CG125" s="19"/>
      <c r="CH125" s="19"/>
      <c r="CI125" s="19"/>
      <c r="CJ125" s="19"/>
      <c r="CK125" s="2"/>
      <c r="CL125" s="19"/>
      <c r="CM125" s="19"/>
      <c r="CN125" s="19"/>
      <c r="CO125" s="19"/>
      <c r="CP125" s="19"/>
      <c r="CQ125" s="2"/>
      <c r="CR125" s="19"/>
      <c r="CS125" s="19"/>
      <c r="CT125" s="19"/>
      <c r="CU125" s="19"/>
      <c r="CV125" s="19"/>
      <c r="CW125" s="15"/>
      <c r="CX125" s="15"/>
      <c r="CY125" s="21"/>
      <c r="CZ125" s="15"/>
      <c r="DA125" s="15"/>
      <c r="DB125" s="15"/>
      <c r="DC125" s="15"/>
      <c r="DD125" s="15"/>
      <c r="DE125" s="15"/>
      <c r="DF125" s="15"/>
      <c r="DG125" s="15"/>
      <c r="DH125" s="15"/>
      <c r="DI125" s="15"/>
      <c r="DJ125" s="21"/>
      <c r="DK125" s="21"/>
      <c r="DL125" s="21"/>
      <c r="DM125" s="15"/>
      <c r="DN125" s="21"/>
      <c r="DO125" s="21"/>
      <c r="DP125" s="21"/>
      <c r="DQ125" s="21"/>
      <c r="DR125" s="15"/>
      <c r="DS125" s="15"/>
      <c r="DT125" s="15"/>
      <c r="DU125" s="21"/>
      <c r="DV125" s="21"/>
      <c r="DW125" s="21"/>
      <c r="DX125" s="21"/>
      <c r="DY125" s="10"/>
      <c r="DZ125" s="10"/>
      <c r="EA125" s="10"/>
      <c r="EB125" s="15"/>
      <c r="EC125" s="15"/>
      <c r="ED125" s="15"/>
      <c r="EE125" s="21"/>
      <c r="EF125" s="15"/>
      <c r="EG125" s="15"/>
      <c r="EH125" s="15"/>
      <c r="EI125" s="15"/>
      <c r="EJ125" s="15"/>
      <c r="EK125" s="19"/>
      <c r="EL125" s="19"/>
      <c r="EM125" s="19"/>
      <c r="EN125" s="19"/>
      <c r="EO125" s="2"/>
      <c r="EP125" s="19"/>
      <c r="EQ125" s="19"/>
      <c r="ER125" s="19"/>
      <c r="ES125" s="19"/>
      <c r="ET125" s="2"/>
      <c r="EU125" s="19"/>
      <c r="EV125" s="19"/>
      <c r="EW125" s="19"/>
      <c r="EX125" s="19"/>
      <c r="EY125" s="2"/>
      <c r="EZ125" s="2"/>
      <c r="FA125" s="2"/>
      <c r="FB125" s="19"/>
      <c r="FC125" s="19"/>
      <c r="FD125" s="19"/>
      <c r="FE125" s="19"/>
      <c r="FF125" s="13"/>
      <c r="FG125" s="13"/>
      <c r="FH125" s="13"/>
      <c r="FI125" s="2"/>
      <c r="FJ125" s="2"/>
      <c r="FK125" s="2"/>
      <c r="FL125" s="19"/>
      <c r="FM125" s="2"/>
      <c r="FN125" s="23"/>
      <c r="FO125" s="2"/>
      <c r="FP125" s="23"/>
      <c r="FQ125" s="2"/>
      <c r="FR125" s="19"/>
      <c r="FS125" s="19"/>
      <c r="FT125" s="19"/>
      <c r="FU125" s="19"/>
      <c r="FV125" s="19"/>
      <c r="FW125" s="19"/>
      <c r="FX125" s="19"/>
      <c r="FY125" s="19"/>
      <c r="FZ125" s="19"/>
      <c r="GA125" s="2"/>
      <c r="GB125" s="19"/>
      <c r="GC125" s="19"/>
      <c r="GD125" s="19"/>
      <c r="GE125" s="19"/>
      <c r="GF125" s="19"/>
      <c r="GG125" s="19"/>
      <c r="GH125" s="2"/>
      <c r="GI125" s="2"/>
      <c r="GJ125" s="2"/>
      <c r="GK125" s="19"/>
      <c r="GL125" s="19"/>
      <c r="GM125" s="19"/>
      <c r="GN125" s="19"/>
      <c r="GO125" s="13"/>
      <c r="GP125" s="13"/>
      <c r="GQ125" s="13"/>
      <c r="GR125" s="2"/>
      <c r="GS125" s="2"/>
      <c r="GT125" s="2"/>
      <c r="GU125" s="19"/>
      <c r="GV125" s="2"/>
      <c r="GW125" s="23"/>
      <c r="GX125" s="2"/>
      <c r="GY125" s="23"/>
      <c r="GZ125" s="2"/>
      <c r="HA125" s="19"/>
      <c r="HB125" s="19"/>
      <c r="HC125" s="19"/>
      <c r="HD125" s="19"/>
      <c r="HE125" s="19"/>
      <c r="HF125" s="2"/>
      <c r="HG125" s="19"/>
      <c r="HH125" s="19"/>
      <c r="HI125" s="19"/>
      <c r="HJ125" s="2"/>
      <c r="HK125" s="19"/>
      <c r="HL125" s="19"/>
      <c r="HM125" s="19"/>
      <c r="HN125" s="19"/>
      <c r="HO125" s="19"/>
      <c r="HP125" s="19"/>
      <c r="HQ125" s="2"/>
      <c r="HR125" s="2"/>
      <c r="HS125" s="2"/>
      <c r="HT125" s="2"/>
      <c r="HU125" s="2"/>
      <c r="HV125" s="19"/>
      <c r="HW125" s="19"/>
      <c r="HX125" s="19"/>
      <c r="HY125" s="19"/>
      <c r="HZ125" s="13"/>
      <c r="IA125" s="13"/>
      <c r="IB125" s="13"/>
      <c r="IC125" s="2"/>
      <c r="ID125" s="2"/>
      <c r="IE125" s="2"/>
      <c r="IF125" s="19"/>
      <c r="IG125" s="2"/>
      <c r="IH125" s="23"/>
      <c r="II125" s="2"/>
      <c r="IJ125" s="23"/>
      <c r="IK125" s="2"/>
    </row>
    <row r="126" spans="1:245" ht="15" hidden="1">
      <c r="A126" s="85"/>
      <c r="B126" s="205" t="s">
        <v>177</v>
      </c>
      <c r="C126" s="85">
        <v>5.4383333333333335</v>
      </c>
      <c r="D126" s="85">
        <v>28.606666666666666</v>
      </c>
      <c r="E126" s="206">
        <v>278.1781056390659</v>
      </c>
      <c r="F126" s="206">
        <v>28.622037901629682</v>
      </c>
      <c r="G126" s="206">
        <v>4.3466670024588936</v>
      </c>
      <c r="H126" s="206">
        <v>-8.3684065664796563</v>
      </c>
      <c r="I126" s="85">
        <v>278.17888282512558</v>
      </c>
      <c r="J126" s="85">
        <v>28.621887965154492</v>
      </c>
      <c r="K126" s="85">
        <v>6879.9645611323504</v>
      </c>
      <c r="L126" s="206">
        <v>151.07842413522303</v>
      </c>
      <c r="M126" s="85">
        <v>0.18836316389137167</v>
      </c>
      <c r="N126" s="201">
        <v>120.72449448101216</v>
      </c>
      <c r="O126" s="201">
        <v>221.68540205294448</v>
      </c>
      <c r="P126" s="201">
        <v>151.4573009651067</v>
      </c>
      <c r="Q126" s="201">
        <v>23.436848668626869</v>
      </c>
      <c r="R126" s="201">
        <v>-13.483147460705382</v>
      </c>
      <c r="S126" s="201">
        <v>-4.5372200639252691</v>
      </c>
      <c r="T126" s="201">
        <v>18.899628604701601</v>
      </c>
      <c r="U126" s="15">
        <v>-3.5433990869957444E-3</v>
      </c>
      <c r="V126" s="15">
        <v>208.92511926386396</v>
      </c>
      <c r="W126" s="15">
        <v>221.68018177224167</v>
      </c>
      <c r="X126" s="15">
        <v>298.42295508368443</v>
      </c>
      <c r="Y126" s="15">
        <v>-1.700906025118661</v>
      </c>
      <c r="Z126" s="15">
        <v>219.97927574712301</v>
      </c>
      <c r="AA126" s="15">
        <v>4.1109324254564195</v>
      </c>
      <c r="AB126" s="15">
        <v>23.436848668626869</v>
      </c>
      <c r="AC126" s="15">
        <v>-14.806228853820869</v>
      </c>
      <c r="AD126" s="15">
        <v>-0.58950273848303802</v>
      </c>
      <c r="AE126" s="15">
        <v>-0.76627689342545402</v>
      </c>
      <c r="AF126" s="15">
        <v>217.57136227293384</v>
      </c>
      <c r="AG126" s="15">
        <v>28.921575864776969</v>
      </c>
      <c r="AH126" s="15">
        <v>351.35021359184316</v>
      </c>
      <c r="AI126" s="15"/>
      <c r="AJ126" s="21"/>
      <c r="AK126" s="21"/>
      <c r="AL126" s="15"/>
      <c r="AM126" s="21"/>
      <c r="AN126" s="21"/>
      <c r="AO126" s="21"/>
      <c r="AP126" s="21"/>
      <c r="AQ126" s="21"/>
      <c r="AR126" s="21"/>
      <c r="AS126" s="15"/>
      <c r="AT126" s="21"/>
      <c r="AU126" s="22"/>
      <c r="AV126" s="21"/>
      <c r="AW126" s="15"/>
      <c r="AX126" s="21"/>
      <c r="AY126" s="15"/>
      <c r="AZ126" s="15"/>
      <c r="BA126" s="15"/>
      <c r="BB126" s="15"/>
      <c r="BC126" s="15"/>
      <c r="BD126" s="19"/>
      <c r="BE126" s="2"/>
      <c r="BF126" s="19"/>
      <c r="BG126" s="2"/>
      <c r="BH126" s="19"/>
      <c r="BI126" s="19"/>
      <c r="BJ126" s="19"/>
      <c r="BK126" s="19"/>
      <c r="BL126" s="19"/>
      <c r="BM126" s="2"/>
      <c r="BN126" s="19"/>
      <c r="BO126" s="19"/>
      <c r="BP126" s="19"/>
      <c r="BQ126" s="19"/>
      <c r="BR126" s="2"/>
      <c r="BS126" s="2"/>
      <c r="BT126" s="2"/>
      <c r="BU126" s="2"/>
      <c r="BV126" s="2"/>
      <c r="BW126" s="2"/>
      <c r="BX126" s="19"/>
      <c r="BY126" s="2"/>
      <c r="BZ126" s="19"/>
      <c r="CA126" s="19"/>
      <c r="CB126" s="19"/>
      <c r="CC126" s="19"/>
      <c r="CD126" s="19"/>
      <c r="CE126" s="19"/>
      <c r="CF126" s="19"/>
      <c r="CG126" s="19"/>
      <c r="CH126" s="19"/>
      <c r="CI126" s="19"/>
      <c r="CJ126" s="19"/>
      <c r="CK126" s="2"/>
      <c r="CL126" s="19"/>
      <c r="CM126" s="19"/>
      <c r="CN126" s="19"/>
      <c r="CO126" s="19"/>
      <c r="CP126" s="19"/>
      <c r="CQ126" s="2"/>
      <c r="CR126" s="19"/>
      <c r="CS126" s="19"/>
      <c r="CT126" s="19"/>
      <c r="CU126" s="19"/>
      <c r="CV126" s="19"/>
      <c r="CW126" s="15"/>
      <c r="CX126" s="15"/>
      <c r="CY126" s="21"/>
      <c r="CZ126" s="15"/>
      <c r="DA126" s="15"/>
      <c r="DB126" s="15"/>
      <c r="DC126" s="15"/>
      <c r="DD126" s="15"/>
      <c r="DE126" s="15"/>
      <c r="DF126" s="15"/>
      <c r="DG126" s="15"/>
      <c r="DH126" s="15"/>
      <c r="DI126" s="15"/>
      <c r="DJ126" s="21"/>
      <c r="DK126" s="21"/>
      <c r="DL126" s="21"/>
      <c r="DM126" s="15"/>
      <c r="DN126" s="21"/>
      <c r="DO126" s="21"/>
      <c r="DP126" s="21"/>
      <c r="DQ126" s="21"/>
      <c r="DR126" s="15"/>
      <c r="DS126" s="15"/>
      <c r="DT126" s="15"/>
      <c r="DU126" s="21"/>
      <c r="DV126" s="21"/>
      <c r="DW126" s="21"/>
      <c r="DX126" s="21"/>
      <c r="DY126" s="10"/>
      <c r="DZ126" s="10"/>
      <c r="EA126" s="10"/>
      <c r="EB126" s="15"/>
      <c r="EC126" s="15"/>
      <c r="ED126" s="15"/>
      <c r="EE126" s="21"/>
      <c r="EF126" s="15"/>
      <c r="EG126" s="15"/>
      <c r="EH126" s="15"/>
      <c r="EI126" s="15"/>
      <c r="EJ126" s="15"/>
      <c r="EK126" s="19"/>
      <c r="EL126" s="19"/>
      <c r="EM126" s="19"/>
      <c r="EN126" s="19"/>
      <c r="EO126" s="2"/>
      <c r="EP126" s="19"/>
      <c r="EQ126" s="19"/>
      <c r="ER126" s="19"/>
      <c r="ES126" s="19"/>
      <c r="ET126" s="2"/>
      <c r="EU126" s="19"/>
      <c r="EV126" s="19"/>
      <c r="EW126" s="19"/>
      <c r="EX126" s="19"/>
      <c r="EY126" s="2"/>
      <c r="EZ126" s="2"/>
      <c r="FA126" s="2"/>
      <c r="FB126" s="19"/>
      <c r="FC126" s="19"/>
      <c r="FD126" s="19"/>
      <c r="FE126" s="19"/>
      <c r="FF126" s="13"/>
      <c r="FG126" s="13"/>
      <c r="FH126" s="13"/>
      <c r="FI126" s="2"/>
      <c r="FJ126" s="2"/>
      <c r="FK126" s="2"/>
      <c r="FL126" s="19"/>
      <c r="FM126" s="2"/>
      <c r="FN126" s="23"/>
      <c r="FO126" s="2"/>
      <c r="FP126" s="23"/>
      <c r="FQ126" s="2"/>
      <c r="FR126" s="19"/>
      <c r="FS126" s="19"/>
      <c r="FT126" s="19"/>
      <c r="FU126" s="19"/>
      <c r="FV126" s="19"/>
      <c r="FW126" s="19"/>
      <c r="FX126" s="19"/>
      <c r="FY126" s="19"/>
      <c r="FZ126" s="19"/>
      <c r="GA126" s="2"/>
      <c r="GB126" s="19"/>
      <c r="GC126" s="19"/>
      <c r="GD126" s="19"/>
      <c r="GE126" s="19"/>
      <c r="GF126" s="19"/>
      <c r="GG126" s="19"/>
      <c r="GH126" s="2"/>
      <c r="GI126" s="2"/>
      <c r="GJ126" s="2"/>
      <c r="GK126" s="19"/>
      <c r="GL126" s="19"/>
      <c r="GM126" s="19"/>
      <c r="GN126" s="19"/>
      <c r="GO126" s="13"/>
      <c r="GP126" s="13"/>
      <c r="GQ126" s="13"/>
      <c r="GR126" s="2"/>
      <c r="GS126" s="2"/>
      <c r="GT126" s="2"/>
      <c r="GU126" s="19"/>
      <c r="GV126" s="2"/>
      <c r="GW126" s="23"/>
      <c r="GX126" s="2"/>
      <c r="GY126" s="23"/>
      <c r="GZ126" s="2"/>
      <c r="HA126" s="19"/>
      <c r="HB126" s="19"/>
      <c r="HC126" s="19"/>
      <c r="HD126" s="19"/>
      <c r="HE126" s="19"/>
      <c r="HF126" s="2"/>
      <c r="HG126" s="19"/>
      <c r="HH126" s="19"/>
      <c r="HI126" s="19"/>
      <c r="HJ126" s="2"/>
      <c r="HK126" s="19"/>
      <c r="HL126" s="19"/>
      <c r="HM126" s="19"/>
      <c r="HN126" s="19"/>
      <c r="HO126" s="19"/>
      <c r="HP126" s="19"/>
      <c r="HQ126" s="2"/>
      <c r="HR126" s="2"/>
      <c r="HS126" s="2"/>
      <c r="HT126" s="2"/>
      <c r="HU126" s="2"/>
      <c r="HV126" s="19"/>
      <c r="HW126" s="19"/>
      <c r="HX126" s="19"/>
      <c r="HY126" s="19"/>
      <c r="HZ126" s="13"/>
      <c r="IA126" s="13"/>
      <c r="IB126" s="13"/>
      <c r="IC126" s="2"/>
      <c r="ID126" s="2"/>
      <c r="IE126" s="2"/>
      <c r="IF126" s="19"/>
      <c r="IG126" s="2"/>
      <c r="IH126" s="23"/>
      <c r="II126" s="2"/>
      <c r="IJ126" s="23"/>
      <c r="IK126" s="2"/>
    </row>
    <row r="127" spans="1:245" ht="15" hidden="1">
      <c r="A127" s="85"/>
      <c r="B127" s="205" t="s">
        <v>178</v>
      </c>
      <c r="C127" s="85">
        <v>17.942777777777778</v>
      </c>
      <c r="D127" s="85">
        <v>51.488333333333337</v>
      </c>
      <c r="E127" s="206">
        <v>90.576246616139827</v>
      </c>
      <c r="F127" s="206">
        <v>51.486761723406531</v>
      </c>
      <c r="G127" s="206">
        <v>4.3466670024588936</v>
      </c>
      <c r="H127" s="206">
        <v>-8.3684065664796563</v>
      </c>
      <c r="I127" s="85">
        <v>90.576279472512027</v>
      </c>
      <c r="J127" s="85">
        <v>51.486038408894878</v>
      </c>
      <c r="K127" s="85">
        <v>6879.9645631030789</v>
      </c>
      <c r="L127" s="206">
        <v>151.07771273050457</v>
      </c>
      <c r="M127" s="85">
        <v>0.18836316394532729</v>
      </c>
      <c r="N127" s="201">
        <v>120.72449437665463</v>
      </c>
      <c r="O127" s="201">
        <v>221.6854039953887</v>
      </c>
      <c r="P127" s="201">
        <v>151.45732693221362</v>
      </c>
      <c r="Q127" s="201">
        <v>23.436848668626165</v>
      </c>
      <c r="R127" s="201">
        <v>-13.483147353460124</v>
      </c>
      <c r="S127" s="201">
        <v>-4.5372200115300707</v>
      </c>
      <c r="T127" s="201">
        <v>18.899628657096095</v>
      </c>
      <c r="U127" s="15">
        <v>-3.5433990577020953E-3</v>
      </c>
      <c r="V127" s="15">
        <v>208.92583066855312</v>
      </c>
      <c r="W127" s="15">
        <v>221.68018371468588</v>
      </c>
      <c r="X127" s="15">
        <v>298.42295702603496</v>
      </c>
      <c r="Y127" s="15">
        <v>-1.7009059949601928</v>
      </c>
      <c r="Z127" s="15">
        <v>219.9792777197257</v>
      </c>
      <c r="AA127" s="15">
        <v>4.1109324317595606</v>
      </c>
      <c r="AB127" s="15">
        <v>23.436848668626165</v>
      </c>
      <c r="AC127" s="15">
        <v>-14.806229475673547</v>
      </c>
      <c r="AD127" s="15">
        <v>-0.58950276268822133</v>
      </c>
      <c r="AE127" s="15">
        <v>-0.76627687130483801</v>
      </c>
      <c r="AF127" s="15">
        <v>217.57136420924846</v>
      </c>
      <c r="AG127" s="15">
        <v>28.922287269495428</v>
      </c>
      <c r="AH127" s="15">
        <v>351.35092306024694</v>
      </c>
      <c r="AI127" s="15"/>
      <c r="AJ127" s="21"/>
      <c r="AK127" s="21"/>
      <c r="AL127" s="15"/>
      <c r="AM127" s="21"/>
      <c r="AN127" s="21"/>
      <c r="AO127" s="21"/>
      <c r="AP127" s="21"/>
      <c r="AQ127" s="21"/>
      <c r="AR127" s="21"/>
      <c r="AS127" s="15"/>
      <c r="AT127" s="21"/>
      <c r="AU127" s="22"/>
      <c r="AV127" s="21"/>
      <c r="AW127" s="15"/>
      <c r="AX127" s="21"/>
      <c r="AY127" s="15"/>
      <c r="AZ127" s="15"/>
      <c r="BA127" s="15"/>
      <c r="BB127" s="15"/>
      <c r="BC127" s="15"/>
      <c r="BD127" s="19"/>
      <c r="BE127" s="2"/>
      <c r="BF127" s="19"/>
      <c r="BG127" s="2"/>
      <c r="BH127" s="19"/>
      <c r="BI127" s="19"/>
      <c r="BJ127" s="19"/>
      <c r="BK127" s="19"/>
      <c r="BL127" s="19"/>
      <c r="BM127" s="2"/>
      <c r="BN127" s="19"/>
      <c r="BO127" s="19"/>
      <c r="BP127" s="19"/>
      <c r="BQ127" s="19"/>
      <c r="BR127" s="2"/>
      <c r="BS127" s="2"/>
      <c r="BT127" s="2"/>
      <c r="BU127" s="2"/>
      <c r="BV127" s="2"/>
      <c r="BW127" s="2"/>
      <c r="BX127" s="19"/>
      <c r="BY127" s="2"/>
      <c r="BZ127" s="19"/>
      <c r="CA127" s="19"/>
      <c r="CB127" s="19"/>
      <c r="CC127" s="19"/>
      <c r="CD127" s="19"/>
      <c r="CE127" s="19"/>
      <c r="CF127" s="19"/>
      <c r="CG127" s="19"/>
      <c r="CH127" s="19"/>
      <c r="CI127" s="19"/>
      <c r="CJ127" s="19"/>
      <c r="CK127" s="2"/>
      <c r="CL127" s="19"/>
      <c r="CM127" s="19"/>
      <c r="CN127" s="19"/>
      <c r="CO127" s="19"/>
      <c r="CP127" s="19"/>
      <c r="CQ127" s="2"/>
      <c r="CR127" s="19"/>
      <c r="CS127" s="19"/>
      <c r="CT127" s="19"/>
      <c r="CU127" s="19"/>
      <c r="CV127" s="19"/>
      <c r="CW127" s="15"/>
      <c r="CX127" s="15"/>
      <c r="CY127" s="21"/>
      <c r="CZ127" s="15"/>
      <c r="DA127" s="15"/>
      <c r="DB127" s="15"/>
      <c r="DC127" s="15"/>
      <c r="DD127" s="15"/>
      <c r="DE127" s="15"/>
      <c r="DF127" s="15"/>
      <c r="DG127" s="15"/>
      <c r="DH127" s="15"/>
      <c r="DI127" s="15"/>
      <c r="DJ127" s="21"/>
      <c r="DK127" s="21"/>
      <c r="DL127" s="21"/>
      <c r="DM127" s="15"/>
      <c r="DN127" s="21"/>
      <c r="DO127" s="21"/>
      <c r="DP127" s="21"/>
      <c r="DQ127" s="21"/>
      <c r="DR127" s="15"/>
      <c r="DS127" s="15"/>
      <c r="DT127" s="15"/>
      <c r="DU127" s="21"/>
      <c r="DV127" s="21"/>
      <c r="DW127" s="21"/>
      <c r="DX127" s="21"/>
      <c r="DY127" s="10"/>
      <c r="DZ127" s="10"/>
      <c r="EA127" s="10"/>
      <c r="EB127" s="15"/>
      <c r="EC127" s="15"/>
      <c r="ED127" s="15"/>
      <c r="EE127" s="21"/>
      <c r="EF127" s="15"/>
      <c r="EG127" s="15"/>
      <c r="EH127" s="15"/>
      <c r="EI127" s="15"/>
      <c r="EJ127" s="15"/>
      <c r="EK127" s="19"/>
      <c r="EL127" s="19"/>
      <c r="EM127" s="19"/>
      <c r="EN127" s="19"/>
      <c r="EO127" s="2"/>
      <c r="EP127" s="19"/>
      <c r="EQ127" s="19"/>
      <c r="ER127" s="19"/>
      <c r="ES127" s="19"/>
      <c r="ET127" s="2"/>
      <c r="EU127" s="19"/>
      <c r="EV127" s="19"/>
      <c r="EW127" s="19"/>
      <c r="EX127" s="19"/>
      <c r="EY127" s="2"/>
      <c r="EZ127" s="2"/>
      <c r="FA127" s="2"/>
      <c r="FB127" s="19"/>
      <c r="FC127" s="19"/>
      <c r="FD127" s="19"/>
      <c r="FE127" s="19"/>
      <c r="FF127" s="13"/>
      <c r="FG127" s="13"/>
      <c r="FH127" s="13"/>
      <c r="FI127" s="2"/>
      <c r="FJ127" s="2"/>
      <c r="FK127" s="2"/>
      <c r="FL127" s="19"/>
      <c r="FM127" s="2"/>
      <c r="FN127" s="23"/>
      <c r="FO127" s="2"/>
      <c r="FP127" s="23"/>
      <c r="FQ127" s="2"/>
      <c r="FR127" s="19"/>
      <c r="FS127" s="19"/>
      <c r="FT127" s="19"/>
      <c r="FU127" s="19"/>
      <c r="FV127" s="19"/>
      <c r="FW127" s="19"/>
      <c r="FX127" s="19"/>
      <c r="FY127" s="19"/>
      <c r="FZ127" s="19"/>
      <c r="GA127" s="2"/>
      <c r="GB127" s="19"/>
      <c r="GC127" s="19"/>
      <c r="GD127" s="19"/>
      <c r="GE127" s="19"/>
      <c r="GF127" s="19"/>
      <c r="GG127" s="19"/>
      <c r="GH127" s="2"/>
      <c r="GI127" s="2"/>
      <c r="GJ127" s="2"/>
      <c r="GK127" s="19"/>
      <c r="GL127" s="19"/>
      <c r="GM127" s="19"/>
      <c r="GN127" s="19"/>
      <c r="GO127" s="13"/>
      <c r="GP127" s="13"/>
      <c r="GQ127" s="13"/>
      <c r="GR127" s="2"/>
      <c r="GS127" s="2"/>
      <c r="GT127" s="2"/>
      <c r="GU127" s="19"/>
      <c r="GV127" s="2"/>
      <c r="GW127" s="23"/>
      <c r="GX127" s="2"/>
      <c r="GY127" s="23"/>
      <c r="GZ127" s="2"/>
      <c r="HA127" s="19"/>
      <c r="HB127" s="19"/>
      <c r="HC127" s="19"/>
      <c r="HD127" s="19"/>
      <c r="HE127" s="19"/>
      <c r="HF127" s="2"/>
      <c r="HG127" s="19"/>
      <c r="HH127" s="19"/>
      <c r="HI127" s="19"/>
      <c r="HJ127" s="2"/>
      <c r="HK127" s="19"/>
      <c r="HL127" s="19"/>
      <c r="HM127" s="19"/>
      <c r="HN127" s="19"/>
      <c r="HO127" s="19"/>
      <c r="HP127" s="19"/>
      <c r="HQ127" s="2"/>
      <c r="HR127" s="2"/>
      <c r="HS127" s="2"/>
      <c r="HT127" s="2"/>
      <c r="HU127" s="2"/>
      <c r="HV127" s="19"/>
      <c r="HW127" s="19"/>
      <c r="HX127" s="19"/>
      <c r="HY127" s="19"/>
      <c r="HZ127" s="13"/>
      <c r="IA127" s="13"/>
      <c r="IB127" s="13"/>
      <c r="IC127" s="2"/>
      <c r="ID127" s="2"/>
      <c r="IE127" s="2"/>
      <c r="IF127" s="19"/>
      <c r="IG127" s="2"/>
      <c r="IH127" s="23"/>
      <c r="II127" s="2"/>
      <c r="IJ127" s="23"/>
      <c r="IK127" s="2"/>
    </row>
    <row r="128" spans="1:245" ht="15" hidden="1">
      <c r="A128" s="85"/>
      <c r="B128" s="205" t="s">
        <v>179</v>
      </c>
      <c r="C128" s="85">
        <v>21.736111111111111</v>
      </c>
      <c r="D128" s="85">
        <v>9.875</v>
      </c>
      <c r="E128" s="206">
        <v>33.710098203649466</v>
      </c>
      <c r="F128" s="206">
        <v>9.9620191299008738</v>
      </c>
      <c r="G128" s="206">
        <v>4.3466670024588936</v>
      </c>
      <c r="H128" s="206">
        <v>-8.3684065664796563</v>
      </c>
      <c r="I128" s="85">
        <v>33.711090408598245</v>
      </c>
      <c r="J128" s="85">
        <v>9.9615566587921975</v>
      </c>
      <c r="K128" s="85">
        <v>1</v>
      </c>
      <c r="L128" s="206"/>
      <c r="M128" s="85"/>
      <c r="N128" s="201"/>
      <c r="O128" s="201" t="s">
        <v>58</v>
      </c>
      <c r="P128" s="201">
        <v>1</v>
      </c>
      <c r="Q128" s="201">
        <v>145.10587226853033</v>
      </c>
      <c r="R128" s="201">
        <v>145.11003899350129</v>
      </c>
      <c r="S128" s="201">
        <v>163.24187498591596</v>
      </c>
      <c r="T128" s="201">
        <v>-14.624802388278441</v>
      </c>
      <c r="U128" s="15">
        <v>-14.624806066718266</v>
      </c>
      <c r="V128" s="15">
        <v>-14.64080810080409</v>
      </c>
      <c r="W128" s="15"/>
      <c r="X128" s="15"/>
      <c r="Y128" s="15">
        <v>68.939205601863662</v>
      </c>
      <c r="Z128" s="15">
        <v>68.939205601863662</v>
      </c>
      <c r="AA128" s="15">
        <v>-14.624802388278441</v>
      </c>
      <c r="AB128" s="15">
        <v>0</v>
      </c>
      <c r="AC128" s="15">
        <v>7.5305815212905081E-2</v>
      </c>
      <c r="AD128" s="15">
        <v>-7.5305815212905081E-2</v>
      </c>
      <c r="AE128" s="15">
        <v>-0.2796216178475423</v>
      </c>
      <c r="AF128" s="15">
        <v>-0.35492743306044738</v>
      </c>
      <c r="AG128" s="15">
        <v>70.79527252607781</v>
      </c>
      <c r="AH128" s="15">
        <v>250.79527252607781</v>
      </c>
      <c r="AI128" s="15">
        <v>-25.689802388278441</v>
      </c>
      <c r="AJ128" s="21">
        <v>0.3536035275294539</v>
      </c>
      <c r="AK128" s="21">
        <v>17.025239770771677</v>
      </c>
      <c r="AL128" s="15" t="s">
        <v>58</v>
      </c>
      <c r="AM128" s="21">
        <v>250.79527252607781</v>
      </c>
      <c r="AN128" s="21">
        <v>17.025239770771677</v>
      </c>
      <c r="AO128" s="21"/>
      <c r="AP128" s="15">
        <v>68.94337232683462</v>
      </c>
      <c r="AQ128" s="15">
        <v>68.94337232683462</v>
      </c>
      <c r="AR128" s="15">
        <v>-14.624806066718266</v>
      </c>
      <c r="AS128" s="15">
        <v>0</v>
      </c>
      <c r="AT128" s="15">
        <v>7.5289485209826978E-2</v>
      </c>
      <c r="AU128" s="15">
        <v>-7.5289485209826978E-2</v>
      </c>
      <c r="AV128" s="15">
        <v>-0.2796138616659542</v>
      </c>
      <c r="AW128" s="15">
        <v>-0.35490334687578118</v>
      </c>
      <c r="AX128" s="15">
        <v>70.796480366648225</v>
      </c>
      <c r="AY128" s="15">
        <v>250.79648036664821</v>
      </c>
      <c r="AZ128" s="15">
        <v>-25.689806066718265</v>
      </c>
      <c r="BA128" s="21">
        <v>0.35363575958924476</v>
      </c>
      <c r="BB128" s="21">
        <v>17.02137700453568</v>
      </c>
      <c r="BC128" s="15" t="s">
        <v>58</v>
      </c>
      <c r="BD128" s="21">
        <v>250.79648036664821</v>
      </c>
      <c r="BE128" s="21">
        <v>17.02137700453568</v>
      </c>
      <c r="BF128" s="19"/>
      <c r="BG128" s="19">
        <v>163.57779990367362</v>
      </c>
      <c r="BH128" s="15">
        <v>-14.641104473108337</v>
      </c>
      <c r="BI128" s="19">
        <v>163.58402142105172</v>
      </c>
      <c r="BJ128" s="15">
        <v>-14.641109962056719</v>
      </c>
      <c r="BK128" s="19">
        <v>163.5841366465483</v>
      </c>
      <c r="BL128" s="15">
        <v>-14.641110063714695</v>
      </c>
      <c r="BM128" s="19"/>
      <c r="BN128" s="15" t="s">
        <v>58</v>
      </c>
      <c r="BO128" s="19">
        <v>349.09402185102397</v>
      </c>
      <c r="BP128" s="15">
        <v>-14.804251212494231</v>
      </c>
      <c r="BQ128" s="19">
        <v>352.19141513120547</v>
      </c>
      <c r="BR128" s="15">
        <v>-14.806966160080719</v>
      </c>
      <c r="BS128" s="19">
        <v>352.2382905165727</v>
      </c>
      <c r="BT128" s="15">
        <v>-14.807007245329794</v>
      </c>
      <c r="BU128" s="19">
        <v>352.23899988511585</v>
      </c>
      <c r="BV128" s="15">
        <v>-14.807007867075395</v>
      </c>
      <c r="BW128" s="19">
        <v>76.169639562009934</v>
      </c>
      <c r="BX128" s="15">
        <v>-14.880462315084793</v>
      </c>
      <c r="BY128" s="19">
        <v>81.068221326632141</v>
      </c>
      <c r="BZ128" s="15">
        <v>-14.884742717792667</v>
      </c>
      <c r="CA128" s="19">
        <v>81.150433472100616</v>
      </c>
      <c r="CB128" s="15">
        <v>-14.88481454877706</v>
      </c>
      <c r="CC128" s="19">
        <v>81.151813166263082</v>
      </c>
      <c r="CD128" s="15">
        <v>-14.884815754251395</v>
      </c>
      <c r="CE128" s="19"/>
      <c r="CF128" s="15"/>
      <c r="CG128" s="15"/>
      <c r="CH128" s="21"/>
      <c r="CI128" s="15"/>
      <c r="CJ128" s="15"/>
      <c r="CK128" s="15"/>
      <c r="CL128" s="15"/>
      <c r="CM128" s="15"/>
      <c r="CN128" s="15"/>
      <c r="CO128" s="15"/>
      <c r="CP128" s="15"/>
      <c r="CQ128" s="15"/>
      <c r="CR128" s="15"/>
      <c r="CS128" s="15"/>
      <c r="CT128" s="15"/>
      <c r="CU128" s="15"/>
      <c r="CV128" s="15"/>
      <c r="CW128" s="15"/>
      <c r="CX128" s="15"/>
      <c r="CY128" s="15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5"/>
      <c r="DL128" s="15"/>
      <c r="DM128" s="15"/>
      <c r="DN128" s="15"/>
      <c r="DO128" s="15"/>
      <c r="DP128" s="15"/>
      <c r="DQ128" s="15"/>
      <c r="DR128" s="15"/>
      <c r="DS128" s="15"/>
      <c r="DT128" s="15"/>
      <c r="DU128" s="15"/>
      <c r="DV128" s="15"/>
      <c r="DW128" s="15"/>
      <c r="DX128" s="15"/>
      <c r="DY128" s="15"/>
      <c r="DZ128" s="15"/>
      <c r="EA128" s="15"/>
      <c r="EB128" s="15"/>
      <c r="EC128" s="15"/>
      <c r="ED128" s="15"/>
      <c r="EE128" s="15"/>
      <c r="EF128" s="15"/>
      <c r="EG128" s="15"/>
      <c r="EH128" s="15"/>
      <c r="EI128" s="15"/>
      <c r="EJ128" s="15"/>
      <c r="EK128" s="15"/>
      <c r="EL128" s="15"/>
      <c r="EM128" s="15"/>
      <c r="EN128" s="15"/>
      <c r="EO128" s="15"/>
      <c r="EP128" s="15"/>
      <c r="EQ128" s="15"/>
      <c r="ER128" s="15"/>
      <c r="ES128" s="15"/>
      <c r="ET128" s="15"/>
      <c r="EU128" s="15"/>
      <c r="EV128" s="15"/>
      <c r="EW128" s="15"/>
      <c r="EX128" s="15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</row>
    <row r="129" spans="1:228" ht="15" hidden="1">
      <c r="A129" s="85"/>
      <c r="B129" s="205" t="s">
        <v>180</v>
      </c>
      <c r="C129" s="85">
        <v>22.960277777777776</v>
      </c>
      <c r="D129" s="85">
        <v>-29.626666666666665</v>
      </c>
      <c r="E129" s="206">
        <v>15.37763579736486</v>
      </c>
      <c r="F129" s="206">
        <v>-29.525616723476691</v>
      </c>
      <c r="G129" s="206">
        <v>4.3466670024588936</v>
      </c>
      <c r="H129" s="206">
        <v>-8.3684065664796563</v>
      </c>
      <c r="I129" s="85">
        <v>15.37674863555986</v>
      </c>
      <c r="J129" s="85">
        <v>-29.52606089389235</v>
      </c>
      <c r="K129" s="85"/>
      <c r="L129" s="206"/>
      <c r="M129" s="85"/>
      <c r="N129" s="201"/>
      <c r="O129" s="201" t="s">
        <v>247</v>
      </c>
      <c r="P129" s="201">
        <v>1</v>
      </c>
      <c r="Q129" s="201">
        <v>214.04227022033001</v>
      </c>
      <c r="R129" s="201">
        <v>214.04628487509149</v>
      </c>
      <c r="S129" s="201">
        <v>231.51703008413403</v>
      </c>
      <c r="T129" s="201">
        <v>15.159516459218745</v>
      </c>
      <c r="U129" s="15">
        <v>15.159473866409082</v>
      </c>
      <c r="V129" s="15">
        <v>14.973012947893304</v>
      </c>
      <c r="W129" s="15"/>
      <c r="X129" s="15"/>
      <c r="Y129" s="15">
        <v>137.87560355366332</v>
      </c>
      <c r="Z129" s="15">
        <v>137.87560355366332</v>
      </c>
      <c r="AA129" s="15">
        <v>15.159516459218745</v>
      </c>
      <c r="AB129" s="15">
        <v>1</v>
      </c>
      <c r="AC129" s="15">
        <v>0.21624304296952951</v>
      </c>
      <c r="AD129" s="15">
        <v>0.21624304296952951</v>
      </c>
      <c r="AE129" s="15">
        <v>0.40393356272263381</v>
      </c>
      <c r="AF129" s="15">
        <v>0.62017660569216337</v>
      </c>
      <c r="AG129" s="15">
        <v>58.673317061715281</v>
      </c>
      <c r="AH129" s="15">
        <v>301.3266829382847</v>
      </c>
      <c r="AI129" s="15">
        <v>4.0945164592187453</v>
      </c>
      <c r="AJ129" s="21">
        <v>0.82619165963891195</v>
      </c>
      <c r="AK129" s="21">
        <v>-40.721535882947478</v>
      </c>
      <c r="AL129" s="15" t="s">
        <v>247</v>
      </c>
      <c r="AM129" s="21">
        <v>301.3266829382847</v>
      </c>
      <c r="AN129" s="21">
        <v>-40.721535882947478</v>
      </c>
      <c r="AO129" s="21"/>
      <c r="AP129" s="15">
        <v>137.8796182084248</v>
      </c>
      <c r="AQ129" s="15">
        <v>137.8796182084248</v>
      </c>
      <c r="AR129" s="15">
        <v>15.159473866409082</v>
      </c>
      <c r="AS129" s="15">
        <v>1</v>
      </c>
      <c r="AT129" s="15">
        <v>0.21627350248179866</v>
      </c>
      <c r="AU129" s="15">
        <v>0.21627350248179866</v>
      </c>
      <c r="AV129" s="15">
        <v>0.40396367336045752</v>
      </c>
      <c r="AW129" s="15">
        <v>0.62023717584225624</v>
      </c>
      <c r="AX129" s="15">
        <v>58.670831889181471</v>
      </c>
      <c r="AY129" s="15">
        <v>301.3291681108185</v>
      </c>
      <c r="AZ129" s="15">
        <v>4.0944738664090821</v>
      </c>
      <c r="BA129" s="21">
        <v>0.82621405811758342</v>
      </c>
      <c r="BB129" s="21">
        <v>-40.724922581119699</v>
      </c>
      <c r="BC129" s="15" t="s">
        <v>247</v>
      </c>
      <c r="BD129" s="21">
        <v>301.3291681108185</v>
      </c>
      <c r="BE129" s="21">
        <v>-40.724922581119699</v>
      </c>
      <c r="BF129" s="19"/>
      <c r="BG129" s="19">
        <v>231.84071945680989</v>
      </c>
      <c r="BH129" s="15">
        <v>14.969537496134063</v>
      </c>
      <c r="BI129" s="19">
        <v>231.84671436928306</v>
      </c>
      <c r="BJ129" s="15">
        <v>14.969473121678446</v>
      </c>
      <c r="BK129" s="19">
        <v>231.84682539795449</v>
      </c>
      <c r="BL129" s="15">
        <v>14.96947192943149</v>
      </c>
      <c r="BM129" s="19"/>
      <c r="BN129" s="15" t="s">
        <v>247</v>
      </c>
      <c r="BO129" s="19">
        <v>50.667950419319254</v>
      </c>
      <c r="BP129" s="15">
        <v>12.940542304027309</v>
      </c>
      <c r="BQ129" s="19">
        <v>53.654804803269997</v>
      </c>
      <c r="BR129" s="15">
        <v>12.904914209683387</v>
      </c>
      <c r="BS129" s="19">
        <v>53.70000759625816</v>
      </c>
      <c r="BT129" s="15">
        <v>12.90437460580501</v>
      </c>
      <c r="BU129" s="19">
        <v>53.700691653409876</v>
      </c>
      <c r="BV129" s="15">
        <v>12.904366439847056</v>
      </c>
      <c r="BW129" s="19">
        <v>134.64994084840683</v>
      </c>
      <c r="BX129" s="15">
        <v>11.918977201528772</v>
      </c>
      <c r="BY129" s="19">
        <v>139.37533200703945</v>
      </c>
      <c r="BZ129" s="15">
        <v>11.860317121644107</v>
      </c>
      <c r="CA129" s="19">
        <v>139.45463828026107</v>
      </c>
      <c r="CB129" s="15">
        <v>11.859331594655757</v>
      </c>
      <c r="CC129" s="19">
        <v>139.45596920793821</v>
      </c>
      <c r="CD129" s="15">
        <v>11.859315055129526</v>
      </c>
      <c r="CE129" s="19"/>
      <c r="CF129" s="15"/>
      <c r="CG129" s="15"/>
      <c r="CH129" s="21"/>
      <c r="CI129" s="15"/>
      <c r="CJ129" s="15"/>
      <c r="CK129" s="15"/>
      <c r="CL129" s="15"/>
      <c r="CM129" s="15"/>
      <c r="CN129" s="15"/>
      <c r="CO129" s="15"/>
      <c r="CP129" s="15"/>
      <c r="CQ129" s="15"/>
      <c r="CR129" s="15"/>
      <c r="CS129" s="15"/>
      <c r="CT129" s="15"/>
      <c r="CU129" s="15"/>
      <c r="CV129" s="15"/>
      <c r="CW129" s="15"/>
      <c r="CX129" s="15"/>
      <c r="CY129" s="15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5"/>
      <c r="DL129" s="15"/>
      <c r="DM129" s="15"/>
      <c r="DN129" s="15"/>
      <c r="DO129" s="15"/>
      <c r="DP129" s="15"/>
      <c r="DQ129" s="15"/>
      <c r="DR129" s="15"/>
      <c r="DS129" s="15"/>
      <c r="DT129" s="15"/>
      <c r="DU129" s="15"/>
      <c r="DV129" s="15"/>
      <c r="DW129" s="15"/>
      <c r="DX129" s="15"/>
      <c r="DY129" s="15"/>
      <c r="DZ129" s="15"/>
      <c r="EA129" s="15"/>
      <c r="EB129" s="15"/>
      <c r="EC129" s="15"/>
      <c r="ED129" s="15"/>
      <c r="EE129" s="15"/>
      <c r="EF129" s="15"/>
      <c r="EG129" s="15"/>
      <c r="EH129" s="15"/>
      <c r="EI129" s="15"/>
      <c r="EJ129" s="15"/>
      <c r="EK129" s="15"/>
      <c r="EL129" s="15"/>
      <c r="EM129" s="15"/>
      <c r="EN129" s="15"/>
      <c r="EO129" s="15"/>
      <c r="EP129" s="15"/>
      <c r="EQ129" s="15"/>
      <c r="ER129" s="15"/>
      <c r="ES129" s="15"/>
      <c r="ET129" s="15"/>
      <c r="EU129" s="15"/>
      <c r="EV129" s="15"/>
      <c r="EW129" s="15"/>
      <c r="EX129" s="15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</row>
    <row r="130" spans="1:228" ht="15" hidden="1">
      <c r="A130" s="85"/>
      <c r="B130" s="205" t="s">
        <v>181</v>
      </c>
      <c r="C130" s="85">
        <v>12.519444444444446</v>
      </c>
      <c r="D130" s="85">
        <v>-57.106666666666669</v>
      </c>
      <c r="E130" s="206">
        <v>172.00202434018473</v>
      </c>
      <c r="F130" s="206">
        <v>-57.210610671042893</v>
      </c>
      <c r="G130" s="206">
        <v>4.3466670024588936</v>
      </c>
      <c r="H130" s="206">
        <v>-8.3684065664796563</v>
      </c>
      <c r="I130" s="85">
        <v>172.00629046608685</v>
      </c>
      <c r="J130" s="85">
        <v>-57.211590439805349</v>
      </c>
      <c r="K130" s="85"/>
      <c r="L130" s="206"/>
      <c r="M130" s="85"/>
      <c r="N130" s="201"/>
      <c r="O130" s="201" t="s">
        <v>152</v>
      </c>
      <c r="P130" s="201">
        <v>0</v>
      </c>
      <c r="Q130" s="201"/>
      <c r="R130" s="201"/>
      <c r="S130" s="201"/>
      <c r="T130" s="201"/>
      <c r="U130" s="15"/>
      <c r="V130" s="15"/>
      <c r="W130" s="15"/>
      <c r="X130" s="15"/>
      <c r="Y130" s="15">
        <v>241.1468101213739</v>
      </c>
      <c r="Z130" s="15">
        <v>118.8531898786261</v>
      </c>
      <c r="AA130" s="15">
        <v>-40.235034950992144</v>
      </c>
      <c r="AB130" s="15">
        <v>1</v>
      </c>
      <c r="AC130" s="15">
        <v>0.10774539673769108</v>
      </c>
      <c r="AD130" s="15">
        <v>0.10774539673769108</v>
      </c>
      <c r="AE130" s="15">
        <v>-0.96603921809898841</v>
      </c>
      <c r="AF130" s="15">
        <v>-0.85829382136129728</v>
      </c>
      <c r="AG130" s="15">
        <v>49.891284142674706</v>
      </c>
      <c r="AH130" s="15">
        <v>130.10871585732531</v>
      </c>
      <c r="AI130" s="15">
        <v>-51.300034950992142</v>
      </c>
      <c r="AJ130" s="21">
        <v>0.74275564612220946</v>
      </c>
      <c r="AK130" s="21">
        <v>-29.045976315369344</v>
      </c>
      <c r="AL130" s="15" t="s">
        <v>152</v>
      </c>
      <c r="AM130" s="21">
        <v>130.10871585732531</v>
      </c>
      <c r="AN130" s="21">
        <v>-29.045976315369344</v>
      </c>
      <c r="AO130" s="21"/>
      <c r="AP130" s="15">
        <v>241.15098819592848</v>
      </c>
      <c r="AQ130" s="15">
        <v>118.84901180407152</v>
      </c>
      <c r="AR130" s="15">
        <v>-40.235034950992144</v>
      </c>
      <c r="AS130" s="15">
        <v>1</v>
      </c>
      <c r="AT130" s="15">
        <v>0.1077268082953062</v>
      </c>
      <c r="AU130" s="15">
        <v>0.1077268082953062</v>
      </c>
      <c r="AV130" s="15">
        <v>-0.96600040972137202</v>
      </c>
      <c r="AW130" s="15">
        <v>-0.85827360142606579</v>
      </c>
      <c r="AX130" s="15">
        <v>49.891949231266196</v>
      </c>
      <c r="AY130" s="15">
        <v>130.10805076873379</v>
      </c>
      <c r="AZ130" s="15">
        <v>-51.300034950992142</v>
      </c>
      <c r="BA130" s="21">
        <v>0.74273172013470823</v>
      </c>
      <c r="BB130" s="21">
        <v>-29.042840214688155</v>
      </c>
      <c r="BC130" s="15" t="s">
        <v>152</v>
      </c>
      <c r="BD130" s="21">
        <v>130.10805076873379</v>
      </c>
      <c r="BE130" s="21">
        <v>-29.042840214688155</v>
      </c>
      <c r="BF130" s="19"/>
      <c r="BG130" s="19"/>
      <c r="BH130" s="15"/>
      <c r="BI130" s="19"/>
      <c r="BJ130" s="15"/>
      <c r="BK130" s="19"/>
      <c r="BL130" s="15"/>
      <c r="BM130" s="19"/>
      <c r="BN130" s="24" t="s">
        <v>242</v>
      </c>
      <c r="BO130" s="19">
        <v>330.03542480723036</v>
      </c>
      <c r="BP130" s="15">
        <v>-19.191806150435109</v>
      </c>
      <c r="BQ130" s="19">
        <v>333.1393518792101</v>
      </c>
      <c r="BR130" s="15">
        <v>-19.192227914593278</v>
      </c>
      <c r="BS130" s="19">
        <v>333.18632614730467</v>
      </c>
      <c r="BT130" s="15">
        <v>-19.192234297392346</v>
      </c>
      <c r="BU130" s="19">
        <v>333.18703701224808</v>
      </c>
      <c r="BV130" s="15">
        <v>-19.192234393983657</v>
      </c>
      <c r="BW130" s="19">
        <v>57.29479929247168</v>
      </c>
      <c r="BX130" s="15">
        <v>-19.203657900797715</v>
      </c>
      <c r="BY130" s="19">
        <v>62.203723239690021</v>
      </c>
      <c r="BZ130" s="15">
        <v>-19.204324324215872</v>
      </c>
      <c r="CA130" s="19">
        <v>62.286108960649585</v>
      </c>
      <c r="CB130" s="15">
        <v>-19.204335508409326</v>
      </c>
      <c r="CC130" s="19">
        <v>62.287491567777465</v>
      </c>
      <c r="CD130" s="15">
        <v>-19.204335696103762</v>
      </c>
      <c r="CE130" s="19"/>
      <c r="CF130" s="15"/>
      <c r="CG130" s="15"/>
      <c r="CH130" s="21"/>
      <c r="CI130" s="15"/>
      <c r="CJ130" s="15"/>
      <c r="CK130" s="15"/>
      <c r="CL130" s="15"/>
      <c r="CM130" s="15"/>
      <c r="CN130" s="15"/>
      <c r="CO130" s="15"/>
      <c r="CP130" s="15"/>
      <c r="CQ130" s="15"/>
      <c r="CR130" s="15"/>
      <c r="CS130" s="15"/>
      <c r="CT130" s="15"/>
      <c r="CU130" s="15"/>
      <c r="CV130" s="15"/>
      <c r="CW130" s="15"/>
      <c r="CX130" s="15"/>
      <c r="CY130" s="15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15"/>
      <c r="DL130" s="15"/>
      <c r="DM130" s="15"/>
      <c r="DN130" s="15"/>
      <c r="DO130" s="15"/>
      <c r="DP130" s="15"/>
      <c r="DQ130" s="15"/>
      <c r="DR130" s="15"/>
      <c r="DS130" s="15"/>
      <c r="DT130" s="15"/>
      <c r="DU130" s="15"/>
      <c r="DV130" s="15"/>
      <c r="DW130" s="15"/>
      <c r="DX130" s="15"/>
      <c r="DY130" s="15"/>
      <c r="DZ130" s="15"/>
      <c r="EA130" s="15"/>
      <c r="EB130" s="15"/>
      <c r="EC130" s="15"/>
      <c r="ED130" s="15"/>
      <c r="EE130" s="15"/>
      <c r="EF130" s="15"/>
      <c r="EG130" s="15"/>
      <c r="EH130" s="15"/>
      <c r="EI130" s="15"/>
      <c r="EJ130" s="15"/>
      <c r="EK130" s="15"/>
      <c r="EL130" s="15"/>
      <c r="EM130" s="15"/>
      <c r="EN130" s="15"/>
      <c r="EO130" s="15"/>
      <c r="EP130" s="15"/>
      <c r="EQ130" s="15"/>
      <c r="ER130" s="15"/>
      <c r="ES130" s="15"/>
      <c r="ET130" s="15"/>
      <c r="EU130" s="15"/>
      <c r="EV130" s="15"/>
      <c r="EW130" s="15"/>
      <c r="EX130" s="15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</row>
    <row r="131" spans="1:228" ht="15" hidden="1">
      <c r="A131" s="85"/>
      <c r="B131" s="205" t="s">
        <v>182</v>
      </c>
      <c r="C131" s="85">
        <v>12.263333333333334</v>
      </c>
      <c r="D131" s="85">
        <v>-17.538333333333334</v>
      </c>
      <c r="E131" s="206">
        <v>175.81557075659308</v>
      </c>
      <c r="F131" s="206">
        <v>-17.642996720844941</v>
      </c>
      <c r="G131" s="206">
        <v>4.3466670024588936</v>
      </c>
      <c r="H131" s="206">
        <v>-8.3684065664796563</v>
      </c>
      <c r="I131" s="85">
        <v>175.81615059317213</v>
      </c>
      <c r="J131" s="85">
        <v>-17.643969634393958</v>
      </c>
      <c r="K131" s="85"/>
      <c r="L131" s="206"/>
      <c r="M131" s="85"/>
      <c r="N131" s="201"/>
      <c r="O131" s="201" t="s">
        <v>153</v>
      </c>
      <c r="P131" s="201">
        <v>0</v>
      </c>
      <c r="Q131" s="201"/>
      <c r="R131" s="201"/>
      <c r="S131" s="201"/>
      <c r="T131" s="201"/>
      <c r="U131" s="15"/>
      <c r="V131" s="15"/>
      <c r="W131" s="15"/>
      <c r="X131" s="15"/>
      <c r="Y131" s="15">
        <v>261.28244557963671</v>
      </c>
      <c r="Z131" s="15">
        <v>98.717554420363285</v>
      </c>
      <c r="AA131" s="15">
        <v>-57.147441974300776</v>
      </c>
      <c r="AB131" s="15">
        <v>1</v>
      </c>
      <c r="AC131" s="15">
        <v>2.9985884746611267E-2</v>
      </c>
      <c r="AD131" s="15">
        <v>2.9985884746611267E-2</v>
      </c>
      <c r="AE131" s="15">
        <v>-1.5666737293220003</v>
      </c>
      <c r="AF131" s="15">
        <v>-1.5366878445753891</v>
      </c>
      <c r="AG131" s="15">
        <v>33.547434388620545</v>
      </c>
      <c r="AH131" s="15">
        <v>146.45256561137944</v>
      </c>
      <c r="AI131" s="15">
        <v>-68.212441974300773</v>
      </c>
      <c r="AJ131" s="21">
        <v>0.62095992555020807</v>
      </c>
      <c r="AK131" s="21">
        <v>-13.999879272736763</v>
      </c>
      <c r="AL131" s="15" t="s">
        <v>153</v>
      </c>
      <c r="AM131" s="21">
        <v>146.45256561137944</v>
      </c>
      <c r="AN131" s="21">
        <v>-13.999879272736763</v>
      </c>
      <c r="AO131" s="21"/>
      <c r="AP131" s="15">
        <v>261.28662365419132</v>
      </c>
      <c r="AQ131" s="15">
        <v>98.713376345808683</v>
      </c>
      <c r="AR131" s="15">
        <v>-57.147441974300776</v>
      </c>
      <c r="AS131" s="15">
        <v>1</v>
      </c>
      <c r="AT131" s="15">
        <v>2.9971289318252471E-2</v>
      </c>
      <c r="AU131" s="15">
        <v>2.9971289318252471E-2</v>
      </c>
      <c r="AV131" s="15">
        <v>-1.5666562161228521</v>
      </c>
      <c r="AW131" s="15">
        <v>-1.5366849268045997</v>
      </c>
      <c r="AX131" s="15">
        <v>33.547484494575414</v>
      </c>
      <c r="AY131" s="15">
        <v>146.45251550542457</v>
      </c>
      <c r="AZ131" s="15">
        <v>-68.212441974300773</v>
      </c>
      <c r="BA131" s="21">
        <v>0.62094073828524809</v>
      </c>
      <c r="BB131" s="21">
        <v>-13.997613276349327</v>
      </c>
      <c r="BC131" s="15" t="s">
        <v>153</v>
      </c>
      <c r="BD131" s="21">
        <v>146.45251550542457</v>
      </c>
      <c r="BE131" s="21">
        <v>-13.997613276349327</v>
      </c>
      <c r="BF131" s="19"/>
      <c r="BG131" s="19"/>
      <c r="BH131" s="15"/>
      <c r="BI131" s="19"/>
      <c r="BJ131" s="15"/>
      <c r="BK131" s="19"/>
      <c r="BL131" s="15"/>
      <c r="BM131" s="19"/>
      <c r="BN131" s="24" t="s">
        <v>234</v>
      </c>
      <c r="BO131" s="19">
        <v>241.54767841119619</v>
      </c>
      <c r="BP131" s="15">
        <v>-16.291782028487589</v>
      </c>
      <c r="BQ131" s="19">
        <v>244.64880359182061</v>
      </c>
      <c r="BR131" s="15">
        <v>-16.289817835165998</v>
      </c>
      <c r="BS131" s="19">
        <v>244.69573545559251</v>
      </c>
      <c r="BT131" s="15">
        <v>-16.28978810829771</v>
      </c>
      <c r="BU131" s="19">
        <v>244.69644567882796</v>
      </c>
      <c r="BV131" s="15">
        <v>-16.289787658438684</v>
      </c>
      <c r="BW131" s="19">
        <v>328.72823468991635</v>
      </c>
      <c r="BX131" s="15">
        <v>-16.236507804973893</v>
      </c>
      <c r="BY131" s="19">
        <v>333.63272152614252</v>
      </c>
      <c r="BZ131" s="15">
        <v>-16.233394831807455</v>
      </c>
      <c r="CA131" s="19">
        <v>333.71503277697548</v>
      </c>
      <c r="CB131" s="15">
        <v>-16.233342584141681</v>
      </c>
      <c r="CC131" s="19">
        <v>333.71641413433588</v>
      </c>
      <c r="CD131" s="15">
        <v>-16.233341707314061</v>
      </c>
      <c r="CE131" s="19"/>
      <c r="CF131" s="15"/>
      <c r="CG131" s="15"/>
      <c r="CH131" s="21"/>
      <c r="CI131" s="15"/>
      <c r="CJ131" s="15"/>
      <c r="CK131" s="15"/>
      <c r="CL131" s="15"/>
      <c r="CM131" s="15"/>
      <c r="CN131" s="15"/>
      <c r="CO131" s="15"/>
      <c r="CP131" s="15"/>
      <c r="CQ131" s="15"/>
      <c r="CR131" s="15"/>
      <c r="CS131" s="15"/>
      <c r="CT131" s="15"/>
      <c r="CU131" s="15"/>
      <c r="CV131" s="15"/>
      <c r="CW131" s="15"/>
      <c r="CX131" s="15"/>
      <c r="CY131" s="15"/>
      <c r="CZ131" s="10"/>
      <c r="DA131" s="10"/>
      <c r="DB131" s="10"/>
      <c r="DC131" s="10"/>
      <c r="DD131" s="10"/>
      <c r="DE131" s="10"/>
      <c r="DF131" s="10"/>
      <c r="DG131" s="10"/>
      <c r="DH131" s="10"/>
      <c r="DI131" s="10"/>
      <c r="DJ131" s="10"/>
      <c r="DK131" s="15"/>
      <c r="DL131" s="15"/>
      <c r="DM131" s="15"/>
      <c r="DN131" s="15"/>
      <c r="DO131" s="15"/>
      <c r="DP131" s="15"/>
      <c r="DQ131" s="15"/>
      <c r="DR131" s="15"/>
      <c r="DS131" s="15"/>
      <c r="DT131" s="15"/>
      <c r="DU131" s="15"/>
      <c r="DV131" s="15"/>
      <c r="DW131" s="15"/>
      <c r="DX131" s="15"/>
      <c r="DY131" s="15"/>
      <c r="DZ131" s="15"/>
      <c r="EA131" s="15"/>
      <c r="EB131" s="15"/>
      <c r="EC131" s="15"/>
      <c r="ED131" s="15"/>
      <c r="EE131" s="15"/>
      <c r="EF131" s="15"/>
      <c r="EG131" s="15"/>
      <c r="EH131" s="15"/>
      <c r="EI131" s="15"/>
      <c r="EJ131" s="15"/>
      <c r="EK131" s="15"/>
      <c r="EL131" s="15"/>
      <c r="EM131" s="15"/>
      <c r="EN131" s="15"/>
      <c r="EO131" s="15"/>
      <c r="EP131" s="15"/>
      <c r="EQ131" s="15"/>
      <c r="ER131" s="15"/>
      <c r="ES131" s="15"/>
      <c r="ET131" s="15"/>
      <c r="EU131" s="15"/>
      <c r="EV131" s="15"/>
      <c r="EW131" s="15"/>
      <c r="EX131" s="15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</row>
    <row r="132" spans="1:228" ht="15" hidden="1">
      <c r="A132" s="85"/>
      <c r="B132" s="205" t="s">
        <v>183</v>
      </c>
      <c r="C132" s="85">
        <v>14.063333333333334</v>
      </c>
      <c r="D132" s="85">
        <v>-60.366666666666667</v>
      </c>
      <c r="E132" s="206">
        <v>148.85334360912432</v>
      </c>
      <c r="F132" s="206">
        <v>-60.456641438466086</v>
      </c>
      <c r="G132" s="206">
        <v>4.3466670024588936</v>
      </c>
      <c r="H132" s="206">
        <v>-8.3684065664796563</v>
      </c>
      <c r="I132" s="85">
        <v>148.85701275203215</v>
      </c>
      <c r="J132" s="85">
        <v>-60.457618211552891</v>
      </c>
      <c r="K132" s="85"/>
      <c r="L132" s="206"/>
      <c r="M132" s="85"/>
      <c r="N132" s="201"/>
      <c r="O132" s="202" t="s">
        <v>154</v>
      </c>
      <c r="P132" s="201">
        <v>0</v>
      </c>
      <c r="Q132" s="201"/>
      <c r="R132" s="201"/>
      <c r="S132" s="201"/>
      <c r="T132" s="201"/>
      <c r="U132" s="15"/>
      <c r="V132" s="15"/>
      <c r="W132" s="15"/>
      <c r="X132" s="15"/>
      <c r="Y132" s="15">
        <v>99.109590088107964</v>
      </c>
      <c r="Z132" s="15">
        <v>99.109590088107964</v>
      </c>
      <c r="AA132" s="15">
        <v>-63.196851383174824</v>
      </c>
      <c r="AB132" s="15">
        <v>1</v>
      </c>
      <c r="AC132" s="15">
        <v>3.1356873107514907E-2</v>
      </c>
      <c r="AD132" s="15">
        <v>3.1356873107514907E-2</v>
      </c>
      <c r="AE132" s="15">
        <v>-2.0046775819869889</v>
      </c>
      <c r="AF132" s="15">
        <v>-1.973320708879474</v>
      </c>
      <c r="AG132" s="15">
        <v>27.309978908757827</v>
      </c>
      <c r="AH132" s="15">
        <v>207.30997890875784</v>
      </c>
      <c r="AI132" s="15">
        <v>-74.261851383174829</v>
      </c>
      <c r="AJ132" s="21">
        <v>0.62068378382565914</v>
      </c>
      <c r="AK132" s="21">
        <v>-13.967269368406903</v>
      </c>
      <c r="AL132" s="24" t="s">
        <v>154</v>
      </c>
      <c r="AM132" s="21">
        <v>207.30997890875784</v>
      </c>
      <c r="AN132" s="21">
        <v>-13.967269368406903</v>
      </c>
      <c r="AO132" s="21"/>
      <c r="AP132" s="15">
        <v>99.113768162662524</v>
      </c>
      <c r="AQ132" s="15">
        <v>99.113768162662524</v>
      </c>
      <c r="AR132" s="15">
        <v>-63.196851383174824</v>
      </c>
      <c r="AS132" s="15">
        <v>1</v>
      </c>
      <c r="AT132" s="15">
        <v>3.1371500230042107E-2</v>
      </c>
      <c r="AU132" s="15">
        <v>3.1371500230042107E-2</v>
      </c>
      <c r="AV132" s="15">
        <v>-2.0047010274760484</v>
      </c>
      <c r="AW132" s="15">
        <v>-1.9733295272460063</v>
      </c>
      <c r="AX132" s="15">
        <v>27.309874529369477</v>
      </c>
      <c r="AY132" s="15">
        <v>207.30987452936947</v>
      </c>
      <c r="AZ132" s="15">
        <v>-74.261851383174829</v>
      </c>
      <c r="BA132" s="21">
        <v>0.62069971562863513</v>
      </c>
      <c r="BB132" s="21">
        <v>-13.969150648363524</v>
      </c>
      <c r="BC132" s="24" t="s">
        <v>154</v>
      </c>
      <c r="BD132" s="21">
        <v>207.30987452936947</v>
      </c>
      <c r="BE132" s="21">
        <v>-13.969150648363524</v>
      </c>
      <c r="BF132" s="19"/>
      <c r="BG132" s="19"/>
      <c r="BH132" s="15"/>
      <c r="BI132" s="19"/>
      <c r="BJ132" s="15"/>
      <c r="BK132" s="19"/>
      <c r="BL132" s="15"/>
      <c r="BM132" s="19"/>
      <c r="BN132" s="24" t="s">
        <v>248</v>
      </c>
      <c r="BO132" s="19">
        <v>291.17490693171385</v>
      </c>
      <c r="BP132" s="15">
        <v>-22.770481646235844</v>
      </c>
      <c r="BQ132" s="19">
        <v>294.27997776460211</v>
      </c>
      <c r="BR132" s="15">
        <v>-22.77047106975547</v>
      </c>
      <c r="BS132" s="19">
        <v>294.32696934188584</v>
      </c>
      <c r="BT132" s="15">
        <v>-22.770470909631957</v>
      </c>
      <c r="BU132" s="19">
        <v>294.32768046877027</v>
      </c>
      <c r="BV132" s="15">
        <v>-22.770470907208786</v>
      </c>
      <c r="BW132" s="19">
        <v>18.466421570106093</v>
      </c>
      <c r="BX132" s="15">
        <v>-22.770181285113534</v>
      </c>
      <c r="BY132" s="19">
        <v>23.37715275853202</v>
      </c>
      <c r="BZ132" s="15">
        <v>-22.770164200943711</v>
      </c>
      <c r="CA132" s="19">
        <v>23.459568809364839</v>
      </c>
      <c r="CB132" s="15">
        <v>-22.770163914052677</v>
      </c>
      <c r="CC132" s="19">
        <v>23.460951925492282</v>
      </c>
      <c r="CD132" s="15">
        <v>-22.770163909237993</v>
      </c>
      <c r="CE132" s="19"/>
      <c r="CF132" s="15"/>
      <c r="CG132" s="15"/>
      <c r="CH132" s="21"/>
      <c r="CI132" s="15"/>
      <c r="CJ132" s="15"/>
      <c r="CK132" s="15"/>
      <c r="CL132" s="15"/>
      <c r="CM132" s="15"/>
      <c r="CN132" s="15"/>
      <c r="CO132" s="15"/>
      <c r="CP132" s="15"/>
      <c r="CQ132" s="15"/>
      <c r="CR132" s="15"/>
      <c r="CS132" s="15"/>
      <c r="CT132" s="15"/>
      <c r="CU132" s="15"/>
      <c r="CV132" s="15"/>
      <c r="CW132" s="15"/>
      <c r="CX132" s="15"/>
      <c r="CY132" s="15"/>
      <c r="CZ132" s="10"/>
      <c r="DA132" s="10"/>
      <c r="DB132" s="10"/>
      <c r="DC132" s="10"/>
      <c r="DD132" s="10"/>
      <c r="DE132" s="10"/>
      <c r="DF132" s="10"/>
      <c r="DG132" s="10"/>
      <c r="DH132" s="10"/>
      <c r="DI132" s="10"/>
      <c r="DJ132" s="10"/>
      <c r="DK132" s="15"/>
      <c r="DL132" s="15"/>
      <c r="DM132" s="15"/>
      <c r="DN132" s="15"/>
      <c r="DO132" s="15"/>
      <c r="DP132" s="15"/>
      <c r="DQ132" s="15"/>
      <c r="DR132" s="15"/>
      <c r="DS132" s="15"/>
      <c r="DT132" s="15"/>
      <c r="DU132" s="15"/>
      <c r="DV132" s="15"/>
      <c r="DW132" s="15"/>
      <c r="DX132" s="15"/>
      <c r="DY132" s="15"/>
      <c r="DZ132" s="15"/>
      <c r="EA132" s="15"/>
      <c r="EB132" s="15"/>
      <c r="EC132" s="15"/>
      <c r="ED132" s="15"/>
      <c r="EE132" s="15"/>
      <c r="EF132" s="15"/>
      <c r="EG132" s="15"/>
      <c r="EH132" s="15"/>
      <c r="EI132" s="15"/>
      <c r="EJ132" s="15"/>
      <c r="EK132" s="15"/>
      <c r="EL132" s="15"/>
      <c r="EM132" s="15"/>
      <c r="EN132" s="15"/>
      <c r="EO132" s="15"/>
      <c r="EP132" s="15"/>
      <c r="EQ132" s="15"/>
      <c r="ER132" s="15"/>
      <c r="ES132" s="15"/>
      <c r="ET132" s="15"/>
      <c r="EU132" s="15"/>
      <c r="EV132" s="15"/>
      <c r="EW132" s="15"/>
      <c r="EX132" s="15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</row>
    <row r="133" spans="1:228" ht="15" hidden="1">
      <c r="A133" s="85"/>
      <c r="B133" s="205" t="s">
        <v>184</v>
      </c>
      <c r="C133" s="85">
        <v>2.1194444444444445</v>
      </c>
      <c r="D133" s="85">
        <v>23.463333333333335</v>
      </c>
      <c r="E133" s="206">
        <v>327.96517748077042</v>
      </c>
      <c r="F133" s="206">
        <v>23.552505827637024</v>
      </c>
      <c r="G133" s="206">
        <v>4.3466670024588936</v>
      </c>
      <c r="H133" s="206">
        <v>-8.3684065664796563</v>
      </c>
      <c r="I133" s="85">
        <v>327.96640450509778</v>
      </c>
      <c r="J133" s="85">
        <v>23.552828104849791</v>
      </c>
      <c r="K133" s="85"/>
      <c r="L133" s="206"/>
      <c r="M133" s="85"/>
      <c r="N133" s="201"/>
      <c r="O133" s="202" t="s">
        <v>155</v>
      </c>
      <c r="P133" s="201">
        <v>0</v>
      </c>
      <c r="Q133" s="201"/>
      <c r="R133" s="201"/>
      <c r="S133" s="201"/>
      <c r="T133" s="201"/>
      <c r="U133" s="15"/>
      <c r="V133" s="15"/>
      <c r="W133" s="15"/>
      <c r="X133" s="15"/>
      <c r="Y133" s="15">
        <v>181.05503837202173</v>
      </c>
      <c r="Z133" s="15">
        <v>178.94496162797827</v>
      </c>
      <c r="AA133" s="15">
        <v>-29.000293280252588</v>
      </c>
      <c r="AB133" s="15">
        <v>1</v>
      </c>
      <c r="AC133" s="15">
        <v>10.618927291429058</v>
      </c>
      <c r="AD133" s="15">
        <v>10.618927291429058</v>
      </c>
      <c r="AE133" s="15">
        <v>-30.104826816964305</v>
      </c>
      <c r="AF133" s="15">
        <v>-19.485899525535245</v>
      </c>
      <c r="AG133" s="15">
        <v>2.9933416155810058</v>
      </c>
      <c r="AH133" s="15">
        <v>177.00665838441898</v>
      </c>
      <c r="AI133" s="15">
        <v>-40.06529328025259</v>
      </c>
      <c r="AJ133" s="21">
        <v>0.97562968917264647</v>
      </c>
      <c r="AK133" s="21">
        <v>-72.037651345919983</v>
      </c>
      <c r="AL133" s="24" t="s">
        <v>155</v>
      </c>
      <c r="AM133" s="21">
        <v>177.00665838441898</v>
      </c>
      <c r="AN133" s="21">
        <v>-72.037651345919983</v>
      </c>
      <c r="AO133" s="21"/>
      <c r="AP133" s="15">
        <v>181.0592164465763</v>
      </c>
      <c r="AQ133" s="15">
        <v>178.9407835534237</v>
      </c>
      <c r="AR133" s="15">
        <v>-29.000293280252588</v>
      </c>
      <c r="AS133" s="15">
        <v>1</v>
      </c>
      <c r="AT133" s="15">
        <v>10.577031491483787</v>
      </c>
      <c r="AU133" s="15">
        <v>10.577031491483787</v>
      </c>
      <c r="AV133" s="15">
        <v>-29.986091909982054</v>
      </c>
      <c r="AW133" s="15">
        <v>-19.409060418498267</v>
      </c>
      <c r="AX133" s="15">
        <v>3.0051703656588238</v>
      </c>
      <c r="AY133" s="15">
        <v>176.99482963434119</v>
      </c>
      <c r="AZ133" s="15">
        <v>-40.06529328025259</v>
      </c>
      <c r="BA133" s="21">
        <v>0.97562911177878664</v>
      </c>
      <c r="BB133" s="21">
        <v>-72.037436800500217</v>
      </c>
      <c r="BC133" s="24" t="s">
        <v>155</v>
      </c>
      <c r="BD133" s="21">
        <v>176.99482963434119</v>
      </c>
      <c r="BE133" s="21">
        <v>-72.037436800500217</v>
      </c>
      <c r="BF133" s="19"/>
      <c r="BG133" s="19"/>
      <c r="BH133" s="15"/>
      <c r="BI133" s="19"/>
      <c r="BJ133" s="15"/>
      <c r="BK133" s="19"/>
      <c r="BL133" s="15"/>
      <c r="BM133" s="19"/>
      <c r="BN133" s="24" t="s">
        <v>240</v>
      </c>
      <c r="BO133" s="19">
        <v>1.3385886736572843</v>
      </c>
      <c r="BP133" s="15">
        <v>-15.644833324014261</v>
      </c>
      <c r="BQ133" s="19">
        <v>4.4479974589365838</v>
      </c>
      <c r="BR133" s="15">
        <v>-15.641296894462792</v>
      </c>
      <c r="BS133" s="19">
        <v>4.4950546709152945</v>
      </c>
      <c r="BT133" s="15">
        <v>-15.641243376749111</v>
      </c>
      <c r="BU133" s="19">
        <v>4.4957667910526879</v>
      </c>
      <c r="BV133" s="15">
        <v>-15.641242566861438</v>
      </c>
      <c r="BW133" s="19">
        <v>88.751300017454923</v>
      </c>
      <c r="BX133" s="15">
        <v>-15.545517901124983</v>
      </c>
      <c r="BY133" s="19">
        <v>93.668802512093521</v>
      </c>
      <c r="BZ133" s="15">
        <v>-15.539937390174154</v>
      </c>
      <c r="CA133" s="19">
        <v>93.751332161850655</v>
      </c>
      <c r="CB133" s="15">
        <v>-15.539843739649523</v>
      </c>
      <c r="CC133" s="19">
        <v>93.752717184393703</v>
      </c>
      <c r="CD133" s="15">
        <v>-15.539842167998312</v>
      </c>
      <c r="CE133" s="19"/>
      <c r="CF133" s="15"/>
      <c r="CG133" s="15"/>
      <c r="CH133" s="21"/>
      <c r="CI133" s="15"/>
      <c r="CJ133" s="15"/>
      <c r="CK133" s="15"/>
      <c r="CL133" s="15"/>
      <c r="CM133" s="15"/>
      <c r="CN133" s="15"/>
      <c r="CO133" s="15"/>
      <c r="CP133" s="15"/>
      <c r="CQ133" s="15"/>
      <c r="CR133" s="15"/>
      <c r="CS133" s="15"/>
      <c r="CT133" s="15"/>
      <c r="CU133" s="15"/>
      <c r="CV133" s="15"/>
      <c r="CW133" s="15"/>
      <c r="CX133" s="15"/>
      <c r="CY133" s="15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15"/>
      <c r="DL133" s="15"/>
      <c r="DM133" s="15"/>
      <c r="DN133" s="15"/>
      <c r="DO133" s="15"/>
      <c r="DP133" s="15"/>
      <c r="DQ133" s="15"/>
      <c r="DR133" s="15"/>
      <c r="DS133" s="15"/>
      <c r="DT133" s="15"/>
      <c r="DU133" s="15"/>
      <c r="DV133" s="15"/>
      <c r="DW133" s="15"/>
      <c r="DX133" s="15"/>
      <c r="DY133" s="15"/>
      <c r="DZ133" s="15"/>
      <c r="EA133" s="15"/>
      <c r="EB133" s="15"/>
      <c r="EC133" s="15"/>
      <c r="ED133" s="15"/>
      <c r="EE133" s="15"/>
      <c r="EF133" s="15"/>
      <c r="EG133" s="15"/>
      <c r="EH133" s="15"/>
      <c r="EI133" s="15"/>
      <c r="EJ133" s="15"/>
      <c r="EK133" s="15"/>
      <c r="EL133" s="15"/>
      <c r="EM133" s="15"/>
      <c r="EN133" s="15"/>
      <c r="EO133" s="15"/>
      <c r="EP133" s="15"/>
      <c r="EQ133" s="15"/>
      <c r="ER133" s="15"/>
      <c r="ES133" s="15"/>
      <c r="ET133" s="15"/>
      <c r="EU133" s="15"/>
      <c r="EV133" s="15"/>
      <c r="EW133" s="15"/>
      <c r="EX133" s="15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</row>
    <row r="134" spans="1:228" ht="15" hidden="1">
      <c r="A134" s="85"/>
      <c r="B134" s="205" t="s">
        <v>185</v>
      </c>
      <c r="C134" s="85">
        <v>18.401944444444442</v>
      </c>
      <c r="D134" s="85">
        <v>-34.383333333333333</v>
      </c>
      <c r="E134" s="206">
        <v>83.752024450732279</v>
      </c>
      <c r="F134" s="206">
        <v>-34.372313867961189</v>
      </c>
      <c r="G134" s="206">
        <v>4.3466670024588936</v>
      </c>
      <c r="H134" s="206">
        <v>-8.3684065664796563</v>
      </c>
      <c r="I134" s="85">
        <v>83.752186406133362</v>
      </c>
      <c r="J134" s="85">
        <v>-34.37299723823633</v>
      </c>
      <c r="K134" s="85"/>
      <c r="L134" s="206"/>
      <c r="M134" s="85"/>
      <c r="N134" s="201"/>
      <c r="O134" s="202" t="s">
        <v>156</v>
      </c>
      <c r="P134" s="201">
        <v>0</v>
      </c>
      <c r="Q134" s="201"/>
      <c r="R134" s="201"/>
      <c r="S134" s="201"/>
      <c r="T134" s="201"/>
      <c r="U134" s="15"/>
      <c r="V134" s="15"/>
      <c r="W134" s="15"/>
      <c r="X134" s="15"/>
      <c r="Y134" s="15">
        <v>216.72515139404487</v>
      </c>
      <c r="Z134" s="15">
        <v>143.27484860595513</v>
      </c>
      <c r="AA134" s="15">
        <v>16.545945011814325</v>
      </c>
      <c r="AB134" s="15">
        <v>1</v>
      </c>
      <c r="AC134" s="15">
        <v>0.26212083138319758</v>
      </c>
      <c r="AD134" s="15">
        <v>0.26212083138319758</v>
      </c>
      <c r="AE134" s="15">
        <v>0.49681832231918538</v>
      </c>
      <c r="AF134" s="15">
        <v>0.75893915370238296</v>
      </c>
      <c r="AG134" s="15">
        <v>53.320133665053334</v>
      </c>
      <c r="AH134" s="15">
        <v>53.320133665053334</v>
      </c>
      <c r="AI134" s="15">
        <v>5.4809450118143257</v>
      </c>
      <c r="AJ134" s="21">
        <v>0.84969217598745539</v>
      </c>
      <c r="AK134" s="21">
        <v>-44.377631319425774</v>
      </c>
      <c r="AL134" s="24" t="s">
        <v>156</v>
      </c>
      <c r="AM134" s="21">
        <v>53.320133665053334</v>
      </c>
      <c r="AN134" s="21">
        <v>-44.377631319425774</v>
      </c>
      <c r="AO134" s="21"/>
      <c r="AP134" s="15">
        <v>216.72932946859945</v>
      </c>
      <c r="AQ134" s="15">
        <v>143.27067053140055</v>
      </c>
      <c r="AR134" s="15">
        <v>16.545945011814325</v>
      </c>
      <c r="AS134" s="15">
        <v>1</v>
      </c>
      <c r="AT134" s="15">
        <v>0.26208095484616933</v>
      </c>
      <c r="AU134" s="15">
        <v>0.26208095484616933</v>
      </c>
      <c r="AV134" s="15">
        <v>0.4967697685360169</v>
      </c>
      <c r="AW134" s="15">
        <v>0.75885072338218618</v>
      </c>
      <c r="AX134" s="15">
        <v>53.323332011781559</v>
      </c>
      <c r="AY134" s="15">
        <v>53.323332011781559</v>
      </c>
      <c r="AZ134" s="15">
        <v>5.4809450118143257</v>
      </c>
      <c r="BA134" s="21">
        <v>0.84967166372962222</v>
      </c>
      <c r="BB134" s="21">
        <v>-44.374342785695546</v>
      </c>
      <c r="BC134" s="24" t="s">
        <v>156</v>
      </c>
      <c r="BD134" s="21">
        <v>53.323332011781559</v>
      </c>
      <c r="BE134" s="21">
        <v>-44.374342785695546</v>
      </c>
      <c r="BF134" s="19"/>
      <c r="BG134" s="19"/>
      <c r="BH134" s="15"/>
      <c r="BI134" s="19"/>
      <c r="BJ134" s="15"/>
      <c r="BK134" s="19"/>
      <c r="BL134" s="15"/>
      <c r="BM134" s="19"/>
      <c r="BN134" s="19"/>
      <c r="BO134" s="19"/>
      <c r="BP134" s="19"/>
      <c r="BQ134" s="19"/>
      <c r="BR134" s="19"/>
      <c r="BS134" s="19"/>
      <c r="BT134" s="2"/>
      <c r="BU134" s="19"/>
      <c r="BV134" s="19"/>
      <c r="BW134" s="19"/>
      <c r="BX134" s="19"/>
      <c r="BY134" s="19"/>
      <c r="BZ134" s="2"/>
      <c r="CA134" s="19"/>
      <c r="CB134" s="19"/>
      <c r="CC134" s="19"/>
      <c r="CD134" s="19"/>
      <c r="CE134" s="19"/>
      <c r="CF134" s="15"/>
      <c r="CG134" s="15"/>
      <c r="CH134" s="21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0"/>
      <c r="DA134" s="10"/>
      <c r="DB134" s="10"/>
      <c r="DC134" s="10"/>
      <c r="DD134" s="10"/>
      <c r="DE134" s="10"/>
      <c r="DF134" s="10"/>
      <c r="DG134" s="10"/>
      <c r="DH134" s="10"/>
      <c r="DI134" s="10"/>
      <c r="DJ134" s="10"/>
      <c r="DK134" s="15"/>
      <c r="DL134" s="15"/>
      <c r="DM134" s="15"/>
      <c r="DN134" s="15"/>
      <c r="DO134" s="15"/>
      <c r="DP134" s="15"/>
      <c r="DQ134" s="15"/>
      <c r="DR134" s="15"/>
      <c r="DS134" s="15"/>
      <c r="DT134" s="15"/>
      <c r="DU134" s="15"/>
      <c r="DV134" s="15"/>
      <c r="DW134" s="15"/>
      <c r="DX134" s="15"/>
      <c r="DY134" s="15"/>
      <c r="DZ134" s="15"/>
      <c r="EA134" s="15"/>
      <c r="EB134" s="15"/>
      <c r="EC134" s="15"/>
      <c r="ED134" s="15"/>
      <c r="EE134" s="15"/>
      <c r="EF134" s="15"/>
      <c r="EG134" s="15"/>
      <c r="EH134" s="15"/>
      <c r="EI134" s="15"/>
      <c r="EJ134" s="15"/>
      <c r="EK134" s="15"/>
      <c r="EL134" s="15"/>
      <c r="EM134" s="15"/>
      <c r="EN134" s="15"/>
      <c r="EO134" s="15"/>
      <c r="EP134" s="15"/>
      <c r="EQ134" s="15"/>
      <c r="ER134" s="15"/>
      <c r="ES134" s="15"/>
      <c r="ET134" s="15"/>
      <c r="EU134" s="15"/>
      <c r="EV134" s="15"/>
      <c r="EW134" s="15"/>
      <c r="EX134" s="15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</row>
    <row r="135" spans="1:228" ht="15" hidden="1">
      <c r="A135" s="85"/>
      <c r="B135" s="205" t="s">
        <v>186</v>
      </c>
      <c r="C135" s="85">
        <v>14.844166666666668</v>
      </c>
      <c r="D135" s="85">
        <v>74.153333333333336</v>
      </c>
      <c r="E135" s="206">
        <v>137.00133905361002</v>
      </c>
      <c r="F135" s="206">
        <v>74.076184980954778</v>
      </c>
      <c r="G135" s="206">
        <v>4.3466670024588936</v>
      </c>
      <c r="H135" s="206">
        <v>-8.3684065664796563</v>
      </c>
      <c r="I135" s="85">
        <v>136.99600508780875</v>
      </c>
      <c r="J135" s="85">
        <v>74.075236252847461</v>
      </c>
      <c r="K135" s="85"/>
      <c r="L135" s="206"/>
      <c r="M135" s="85"/>
      <c r="N135" s="201"/>
      <c r="O135" s="202" t="s">
        <v>157</v>
      </c>
      <c r="P135" s="201">
        <v>0</v>
      </c>
      <c r="Q135" s="201"/>
      <c r="R135" s="201"/>
      <c r="S135" s="201"/>
      <c r="T135" s="201"/>
      <c r="U135" s="15"/>
      <c r="V135" s="15"/>
      <c r="W135" s="15"/>
      <c r="X135" s="15"/>
      <c r="Y135" s="15">
        <v>92.172088961376559</v>
      </c>
      <c r="Z135" s="15">
        <v>92.172088961376559</v>
      </c>
      <c r="AA135" s="15">
        <v>55.853666813995943</v>
      </c>
      <c r="AB135" s="15">
        <v>1</v>
      </c>
      <c r="AC135" s="15">
        <v>7.4171738418279658E-3</v>
      </c>
      <c r="AD135" s="15">
        <v>7.4171738418279658E-3</v>
      </c>
      <c r="AE135" s="15">
        <v>1.4754842531873129</v>
      </c>
      <c r="AF135" s="15">
        <v>1.482901427029141</v>
      </c>
      <c r="AG135" s="15">
        <v>34.494019816831361</v>
      </c>
      <c r="AH135" s="15">
        <v>325.50598018316862</v>
      </c>
      <c r="AI135" s="15">
        <v>44.788666813995945</v>
      </c>
      <c r="AJ135" s="21">
        <v>0.43102116984908451</v>
      </c>
      <c r="AK135" s="21">
        <v>7.9296820382907924</v>
      </c>
      <c r="AL135" s="24" t="s">
        <v>157</v>
      </c>
      <c r="AM135" s="21">
        <v>325.50598018316862</v>
      </c>
      <c r="AN135" s="21">
        <v>7.9296820382907924</v>
      </c>
      <c r="AO135" s="21"/>
      <c r="AP135" s="15">
        <v>92.176267035931119</v>
      </c>
      <c r="AQ135" s="15">
        <v>92.176267035931119</v>
      </c>
      <c r="AR135" s="15">
        <v>55.853666813995943</v>
      </c>
      <c r="AS135" s="15">
        <v>1</v>
      </c>
      <c r="AT135" s="15">
        <v>7.4314547038008549E-3</v>
      </c>
      <c r="AU135" s="15">
        <v>7.4314547038008549E-3</v>
      </c>
      <c r="AV135" s="15">
        <v>1.475488337977183</v>
      </c>
      <c r="AW135" s="15">
        <v>1.4829197926809838</v>
      </c>
      <c r="AX135" s="15">
        <v>34.493688609475463</v>
      </c>
      <c r="AY135" s="15">
        <v>325.50631139052456</v>
      </c>
      <c r="AZ135" s="15">
        <v>44.788666813995945</v>
      </c>
      <c r="BA135" s="21">
        <v>0.43104124056615756</v>
      </c>
      <c r="BB135" s="21">
        <v>7.927359906089265</v>
      </c>
      <c r="BC135" s="24" t="s">
        <v>157</v>
      </c>
      <c r="BD135" s="21">
        <v>325.50631139052456</v>
      </c>
      <c r="BE135" s="21">
        <v>7.927359906089265</v>
      </c>
      <c r="BF135" s="19"/>
      <c r="BG135" s="19"/>
      <c r="BH135" s="15"/>
      <c r="BI135" s="19"/>
      <c r="BJ135" s="15"/>
      <c r="BK135" s="19"/>
      <c r="BL135" s="15"/>
      <c r="BM135" s="19"/>
      <c r="BN135" s="19"/>
      <c r="BO135" s="19"/>
      <c r="BP135" s="19"/>
      <c r="BQ135" s="19"/>
      <c r="BR135" s="19"/>
      <c r="BS135" s="19"/>
      <c r="BT135" s="2"/>
      <c r="BU135" s="19"/>
      <c r="BV135" s="19"/>
      <c r="BW135" s="19"/>
      <c r="BX135" s="19"/>
      <c r="BY135" s="19"/>
      <c r="BZ135" s="2"/>
      <c r="CA135" s="19"/>
      <c r="CB135" s="19"/>
      <c r="CC135" s="19"/>
      <c r="CD135" s="19"/>
      <c r="CE135" s="19"/>
      <c r="CF135" s="15"/>
      <c r="CG135" s="15"/>
      <c r="CH135" s="21"/>
      <c r="CI135" s="15"/>
      <c r="CJ135" s="15"/>
      <c r="CK135" s="15"/>
      <c r="CL135" s="15"/>
      <c r="CM135" s="15"/>
      <c r="CN135" s="15"/>
      <c r="CO135" s="15"/>
      <c r="CP135" s="15"/>
      <c r="CQ135" s="15"/>
      <c r="CR135" s="15"/>
      <c r="CS135" s="15"/>
      <c r="CT135" s="15"/>
      <c r="CU135" s="15"/>
      <c r="CV135" s="15"/>
      <c r="CW135" s="15"/>
      <c r="CX135" s="15"/>
      <c r="CY135" s="15"/>
      <c r="CZ135" s="10"/>
      <c r="DA135" s="10"/>
      <c r="DB135" s="10"/>
      <c r="DC135" s="10"/>
      <c r="DD135" s="10"/>
      <c r="DE135" s="10"/>
      <c r="DF135" s="10"/>
      <c r="DG135" s="10"/>
      <c r="DH135" s="10"/>
      <c r="DI135" s="10"/>
      <c r="DJ135" s="10"/>
      <c r="DK135" s="15"/>
      <c r="DL135" s="15"/>
      <c r="DM135" s="15"/>
      <c r="DN135" s="15"/>
      <c r="DO135" s="15"/>
      <c r="DP135" s="15"/>
      <c r="DQ135" s="15"/>
      <c r="DR135" s="15"/>
      <c r="DS135" s="15"/>
      <c r="DT135" s="15"/>
      <c r="DU135" s="15"/>
      <c r="DV135" s="15"/>
      <c r="DW135" s="15"/>
      <c r="DX135" s="15"/>
      <c r="DY135" s="15"/>
      <c r="DZ135" s="15"/>
      <c r="EA135" s="15"/>
      <c r="EB135" s="15"/>
      <c r="EC135" s="15"/>
      <c r="ED135" s="15"/>
      <c r="EE135" s="15"/>
      <c r="EF135" s="15"/>
      <c r="EG135" s="15"/>
      <c r="EH135" s="15"/>
      <c r="EI135" s="15"/>
      <c r="EJ135" s="15"/>
      <c r="EK135" s="15"/>
      <c r="EL135" s="15"/>
      <c r="EM135" s="15"/>
      <c r="EN135" s="15"/>
      <c r="EO135" s="15"/>
      <c r="EP135" s="15"/>
      <c r="EQ135" s="15"/>
      <c r="ER135" s="15"/>
      <c r="ES135" s="15"/>
      <c r="ET135" s="15"/>
      <c r="EU135" s="15"/>
      <c r="EV135" s="15"/>
      <c r="EW135" s="15"/>
      <c r="EX135" s="15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</row>
    <row r="136" spans="1:228" ht="15" hidden="1">
      <c r="A136" s="85"/>
      <c r="B136" s="205" t="s">
        <v>187</v>
      </c>
      <c r="C136" s="85">
        <v>23.078888888888887</v>
      </c>
      <c r="D136" s="85">
        <v>15.205</v>
      </c>
      <c r="E136" s="206">
        <v>13.564017501911849</v>
      </c>
      <c r="F136" s="206">
        <v>15.306876941079004</v>
      </c>
      <c r="G136" s="206">
        <v>4.3466670024588936</v>
      </c>
      <c r="H136" s="206">
        <v>-8.3684065664796563</v>
      </c>
      <c r="I136" s="85">
        <v>13.565364952750871</v>
      </c>
      <c r="J136" s="85">
        <v>15.30643212778913</v>
      </c>
      <c r="K136" s="85"/>
      <c r="L136" s="206"/>
      <c r="M136" s="85"/>
      <c r="N136" s="201"/>
      <c r="O136" s="202" t="s">
        <v>158</v>
      </c>
      <c r="P136" s="201">
        <v>0</v>
      </c>
      <c r="Q136" s="201"/>
      <c r="R136" s="201"/>
      <c r="S136" s="201"/>
      <c r="T136" s="201"/>
      <c r="U136" s="15"/>
      <c r="V136" s="15"/>
      <c r="W136" s="15"/>
      <c r="X136" s="15"/>
      <c r="Y136" s="15">
        <v>78.799476391446134</v>
      </c>
      <c r="Z136" s="15">
        <v>78.799476391446134</v>
      </c>
      <c r="AA136" s="15">
        <v>49.217106031109211</v>
      </c>
      <c r="AB136" s="15">
        <v>0</v>
      </c>
      <c r="AC136" s="15">
        <v>3.8723363652805508E-2</v>
      </c>
      <c r="AD136" s="15">
        <v>-3.8723363652805508E-2</v>
      </c>
      <c r="AE136" s="15">
        <v>1.1817183970445173</v>
      </c>
      <c r="AF136" s="15">
        <v>1.1429950333917118</v>
      </c>
      <c r="AG136" s="15">
        <v>41.715941759798831</v>
      </c>
      <c r="AH136" s="15">
        <v>318.28405824020115</v>
      </c>
      <c r="AI136" s="15">
        <v>38.152106031109213</v>
      </c>
      <c r="AJ136" s="21">
        <v>0.36507908604774825</v>
      </c>
      <c r="AK136" s="21">
        <v>15.654854910079237</v>
      </c>
      <c r="AL136" s="24" t="s">
        <v>158</v>
      </c>
      <c r="AM136" s="21">
        <v>318.28405824020115</v>
      </c>
      <c r="AN136" s="21">
        <v>15.654854910079237</v>
      </c>
      <c r="AO136" s="21"/>
      <c r="AP136" s="15">
        <v>78.803654466000694</v>
      </c>
      <c r="AQ136" s="15">
        <v>78.803654466000694</v>
      </c>
      <c r="AR136" s="15">
        <v>49.217106031109211</v>
      </c>
      <c r="AS136" s="15">
        <v>0</v>
      </c>
      <c r="AT136" s="15">
        <v>3.8708544413668576E-2</v>
      </c>
      <c r="AU136" s="15">
        <v>-3.8708544413668576E-2</v>
      </c>
      <c r="AV136" s="15">
        <v>1.1817013370447724</v>
      </c>
      <c r="AW136" s="15">
        <v>1.1429927926311039</v>
      </c>
      <c r="AX136" s="15">
        <v>41.71599755339728</v>
      </c>
      <c r="AY136" s="15">
        <v>318.2840024466027</v>
      </c>
      <c r="AZ136" s="15">
        <v>38.152106031109213</v>
      </c>
      <c r="BA136" s="21">
        <v>0.36510201415172128</v>
      </c>
      <c r="BB136" s="21">
        <v>15.652126343323928</v>
      </c>
      <c r="BC136" s="24" t="s">
        <v>158</v>
      </c>
      <c r="BD136" s="21">
        <v>318.2840024466027</v>
      </c>
      <c r="BE136" s="21">
        <v>15.652126343323928</v>
      </c>
      <c r="BF136" s="19"/>
      <c r="BG136" s="19"/>
      <c r="BH136" s="15"/>
      <c r="BI136" s="19"/>
      <c r="BJ136" s="15"/>
      <c r="BK136" s="19"/>
      <c r="BL136" s="15"/>
      <c r="BM136" s="19"/>
      <c r="BN136" s="19"/>
      <c r="BO136" s="19"/>
      <c r="BP136" s="19"/>
      <c r="BQ136" s="19"/>
      <c r="BR136" s="19"/>
      <c r="BS136" s="19"/>
      <c r="BT136" s="2"/>
      <c r="BU136" s="19"/>
      <c r="BV136" s="19"/>
      <c r="BW136" s="19"/>
      <c r="BX136" s="19"/>
      <c r="BY136" s="19"/>
      <c r="BZ136" s="2"/>
      <c r="CA136" s="19"/>
      <c r="CB136" s="19"/>
      <c r="CC136" s="19"/>
      <c r="CD136" s="19"/>
      <c r="CE136" s="19"/>
      <c r="CF136" s="15"/>
      <c r="CG136" s="15"/>
      <c r="CH136" s="21"/>
      <c r="CI136" s="15"/>
      <c r="CJ136" s="15"/>
      <c r="CK136" s="15"/>
      <c r="CL136" s="15"/>
      <c r="CM136" s="15"/>
      <c r="CN136" s="15"/>
      <c r="CO136" s="15"/>
      <c r="CP136" s="15"/>
      <c r="CQ136" s="15"/>
      <c r="CR136" s="15"/>
      <c r="CS136" s="15"/>
      <c r="CT136" s="15"/>
      <c r="CU136" s="15"/>
      <c r="CV136" s="15"/>
      <c r="CW136" s="15"/>
      <c r="CX136" s="15"/>
      <c r="CY136" s="15"/>
      <c r="CZ136" s="10"/>
      <c r="DA136" s="10"/>
      <c r="DB136" s="10"/>
      <c r="DC136" s="10"/>
      <c r="DD136" s="10"/>
      <c r="DE136" s="10"/>
      <c r="DF136" s="10"/>
      <c r="DG136" s="10"/>
      <c r="DH136" s="10"/>
      <c r="DI136" s="10"/>
      <c r="DJ136" s="10"/>
      <c r="DK136" s="15"/>
      <c r="DL136" s="15"/>
      <c r="DM136" s="15"/>
      <c r="DN136" s="15"/>
      <c r="DO136" s="15"/>
      <c r="DP136" s="15"/>
      <c r="DQ136" s="15"/>
      <c r="DR136" s="15"/>
      <c r="DS136" s="15"/>
      <c r="DT136" s="15"/>
      <c r="DU136" s="15"/>
      <c r="DV136" s="15"/>
      <c r="DW136" s="15"/>
      <c r="DX136" s="15"/>
      <c r="DY136" s="15"/>
      <c r="DZ136" s="15"/>
      <c r="EA136" s="15"/>
      <c r="EB136" s="15"/>
      <c r="EC136" s="15"/>
      <c r="ED136" s="15"/>
      <c r="EE136" s="15"/>
      <c r="EF136" s="15"/>
      <c r="EG136" s="15"/>
      <c r="EH136" s="15"/>
      <c r="EI136" s="15"/>
      <c r="EJ136" s="15"/>
      <c r="EK136" s="15"/>
      <c r="EL136" s="15"/>
      <c r="EM136" s="15"/>
      <c r="EN136" s="15"/>
      <c r="EO136" s="15"/>
      <c r="EP136" s="15"/>
      <c r="EQ136" s="15"/>
      <c r="ER136" s="15"/>
      <c r="ES136" s="15"/>
      <c r="ET136" s="15"/>
      <c r="EU136" s="15"/>
      <c r="EV136" s="15"/>
      <c r="EW136" s="15"/>
      <c r="EX136" s="15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</row>
    <row r="137" spans="1:228" ht="15" hidden="1">
      <c r="A137" s="85"/>
      <c r="B137" s="205" t="s">
        <v>188</v>
      </c>
      <c r="C137" s="85">
        <v>3.0380555555555553</v>
      </c>
      <c r="D137" s="85">
        <v>4.0866666666666669</v>
      </c>
      <c r="E137" s="206">
        <v>314.18729765432249</v>
      </c>
      <c r="F137" s="206">
        <v>4.1601083165330488</v>
      </c>
      <c r="G137" s="206">
        <v>4.3466670024588936</v>
      </c>
      <c r="H137" s="206">
        <v>-8.3684065664796563</v>
      </c>
      <c r="I137" s="85">
        <v>314.18769605704387</v>
      </c>
      <c r="J137" s="85">
        <v>4.1603213444232878</v>
      </c>
      <c r="K137" s="85"/>
      <c r="L137" s="206"/>
      <c r="M137" s="85"/>
      <c r="N137" s="201"/>
      <c r="O137" s="202" t="s">
        <v>207</v>
      </c>
      <c r="P137" s="201">
        <v>0</v>
      </c>
      <c r="Q137" s="201"/>
      <c r="R137" s="201"/>
      <c r="S137" s="201"/>
      <c r="T137" s="201"/>
      <c r="U137" s="15"/>
      <c r="V137" s="15"/>
      <c r="W137" s="15"/>
      <c r="X137" s="15"/>
      <c r="Y137" s="15">
        <v>313.70490827305542</v>
      </c>
      <c r="Z137" s="15">
        <v>46.295091726944577</v>
      </c>
      <c r="AA137" s="15">
        <v>-46.872779956324941</v>
      </c>
      <c r="AB137" s="15">
        <v>0</v>
      </c>
      <c r="AC137" s="15">
        <v>0.18691123990734659</v>
      </c>
      <c r="AD137" s="15">
        <v>-0.18691123990734659</v>
      </c>
      <c r="AE137" s="15">
        <v>-1.4768217826121834</v>
      </c>
      <c r="AF137" s="15">
        <v>-1.6637330225195299</v>
      </c>
      <c r="AG137" s="15">
        <v>31.485104461268588</v>
      </c>
      <c r="AH137" s="15">
        <v>148.51489553873142</v>
      </c>
      <c r="AI137" s="15">
        <v>-57.937779956324938</v>
      </c>
      <c r="AJ137" s="21">
        <v>0.3382546530721553</v>
      </c>
      <c r="AK137" s="21">
        <v>18.874159184572363</v>
      </c>
      <c r="AL137" s="24" t="s">
        <v>207</v>
      </c>
      <c r="AM137" s="21">
        <v>148.51489553873142</v>
      </c>
      <c r="AN137" s="21">
        <v>18.874159184572363</v>
      </c>
      <c r="AO137" s="21"/>
      <c r="AP137" s="15">
        <v>313.70908634760997</v>
      </c>
      <c r="AQ137" s="15">
        <v>46.290913652390032</v>
      </c>
      <c r="AR137" s="15">
        <v>-46.872779956324941</v>
      </c>
      <c r="AS137" s="15">
        <v>0</v>
      </c>
      <c r="AT137" s="15">
        <v>0.18693852925609949</v>
      </c>
      <c r="AU137" s="15">
        <v>-0.18693852925609949</v>
      </c>
      <c r="AV137" s="15">
        <v>-1.4769247236491836</v>
      </c>
      <c r="AW137" s="15">
        <v>-1.663863252905283</v>
      </c>
      <c r="AX137" s="15">
        <v>31.483107073627025</v>
      </c>
      <c r="AY137" s="15">
        <v>148.51689292637298</v>
      </c>
      <c r="AZ137" s="15">
        <v>-57.937779956324938</v>
      </c>
      <c r="BA137" s="21">
        <v>0.33823697002624953</v>
      </c>
      <c r="BB137" s="21">
        <v>18.876300670099724</v>
      </c>
      <c r="BC137" s="24" t="s">
        <v>207</v>
      </c>
      <c r="BD137" s="21">
        <v>148.51689292637298</v>
      </c>
      <c r="BE137" s="21">
        <v>18.876300670099724</v>
      </c>
      <c r="BF137" s="19"/>
      <c r="BG137" s="19"/>
      <c r="BH137" s="15"/>
      <c r="BI137" s="19"/>
      <c r="BJ137" s="15"/>
      <c r="BK137" s="19"/>
      <c r="BL137" s="15"/>
      <c r="BM137" s="19"/>
      <c r="BN137" s="19"/>
      <c r="BO137" s="19"/>
      <c r="BP137" s="19"/>
      <c r="BQ137" s="19"/>
      <c r="BR137" s="19"/>
      <c r="BS137" s="19"/>
      <c r="BT137" s="2"/>
      <c r="BU137" s="19"/>
      <c r="BV137" s="19"/>
      <c r="BW137" s="19"/>
      <c r="BX137" s="19"/>
      <c r="BY137" s="19"/>
      <c r="BZ137" s="2"/>
      <c r="CA137" s="19"/>
      <c r="CB137" s="19"/>
      <c r="CC137" s="19"/>
      <c r="CD137" s="19"/>
      <c r="CE137" s="19"/>
      <c r="CF137" s="15"/>
      <c r="CG137" s="15"/>
      <c r="CH137" s="21"/>
      <c r="CI137" s="15"/>
      <c r="CJ137" s="15"/>
      <c r="CK137" s="15"/>
      <c r="CL137" s="15"/>
      <c r="CM137" s="15"/>
      <c r="CN137" s="15"/>
      <c r="CO137" s="15"/>
      <c r="CP137" s="15"/>
      <c r="CQ137" s="15"/>
      <c r="CR137" s="15"/>
      <c r="CS137" s="15"/>
      <c r="CT137" s="15"/>
      <c r="CU137" s="15"/>
      <c r="CV137" s="15"/>
      <c r="CW137" s="15"/>
      <c r="CX137" s="15"/>
      <c r="CY137" s="15"/>
      <c r="CZ137" s="10"/>
      <c r="DA137" s="10"/>
      <c r="DB137" s="10"/>
      <c r="DC137" s="10"/>
      <c r="DD137" s="10"/>
      <c r="DE137" s="10"/>
      <c r="DF137" s="10"/>
      <c r="DG137" s="10"/>
      <c r="DH137" s="10"/>
      <c r="DI137" s="10"/>
      <c r="DJ137" s="10"/>
      <c r="DK137" s="15"/>
      <c r="DL137" s="15"/>
      <c r="DM137" s="15"/>
      <c r="DN137" s="15"/>
      <c r="DO137" s="15"/>
      <c r="DP137" s="15"/>
      <c r="DQ137" s="15"/>
      <c r="DR137" s="15"/>
      <c r="DS137" s="15"/>
      <c r="DT137" s="15"/>
      <c r="DU137" s="15"/>
      <c r="DV137" s="15"/>
      <c r="DW137" s="15"/>
      <c r="DX137" s="15"/>
      <c r="DY137" s="15"/>
      <c r="DZ137" s="15"/>
      <c r="EA137" s="15"/>
      <c r="EB137" s="15"/>
      <c r="EC137" s="15"/>
      <c r="ED137" s="15"/>
      <c r="EE137" s="15"/>
      <c r="EF137" s="15"/>
      <c r="EG137" s="15"/>
      <c r="EH137" s="15"/>
      <c r="EI137" s="15"/>
      <c r="EJ137" s="15"/>
      <c r="EK137" s="15"/>
      <c r="EL137" s="15"/>
      <c r="EM137" s="15"/>
      <c r="EN137" s="15"/>
      <c r="EO137" s="15"/>
      <c r="EP137" s="15"/>
      <c r="EQ137" s="15"/>
      <c r="ER137" s="15"/>
      <c r="ES137" s="15"/>
      <c r="ET137" s="15"/>
      <c r="EU137" s="15"/>
      <c r="EV137" s="15"/>
      <c r="EW137" s="15"/>
      <c r="EX137" s="15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</row>
    <row r="138" spans="1:228" ht="15" hidden="1">
      <c r="A138" s="85"/>
      <c r="B138" s="205" t="s">
        <v>189</v>
      </c>
      <c r="C138" s="85">
        <v>14.111111111111111</v>
      </c>
      <c r="D138" s="85">
        <v>-36.365000000000002</v>
      </c>
      <c r="E138" s="206">
        <v>148.11069522027259</v>
      </c>
      <c r="F138" s="206">
        <v>-36.454292865340541</v>
      </c>
      <c r="G138" s="206">
        <v>4.3466670024588936</v>
      </c>
      <c r="H138" s="206">
        <v>-8.3684065664796563</v>
      </c>
      <c r="I138" s="85">
        <v>148.11221039931047</v>
      </c>
      <c r="J138" s="85">
        <v>-36.455268396656244</v>
      </c>
      <c r="K138" s="85"/>
      <c r="L138" s="206"/>
      <c r="M138" s="85"/>
      <c r="N138" s="201"/>
      <c r="O138" s="202" t="s">
        <v>159</v>
      </c>
      <c r="P138" s="201">
        <v>0</v>
      </c>
      <c r="Q138" s="201"/>
      <c r="R138" s="201"/>
      <c r="S138" s="201"/>
      <c r="T138" s="201"/>
      <c r="U138" s="15"/>
      <c r="V138" s="15"/>
      <c r="W138" s="15"/>
      <c r="X138" s="15"/>
      <c r="Y138" s="15">
        <v>201.65659021709263</v>
      </c>
      <c r="Z138" s="15">
        <v>158.34340978290737</v>
      </c>
      <c r="AA138" s="15">
        <v>-1.1843095201323468</v>
      </c>
      <c r="AB138" s="15">
        <v>1</v>
      </c>
      <c r="AC138" s="15">
        <v>0.49250111994493179</v>
      </c>
      <c r="AD138" s="15">
        <v>0.49250111994493179</v>
      </c>
      <c r="AE138" s="15">
        <v>-5.6018029320777062E-2</v>
      </c>
      <c r="AF138" s="15">
        <v>0.43648309062415475</v>
      </c>
      <c r="AG138" s="15">
        <v>66.811213251077149</v>
      </c>
      <c r="AH138" s="15">
        <v>66.811213251077149</v>
      </c>
      <c r="AI138" s="15">
        <v>-12.249309520132346</v>
      </c>
      <c r="AJ138" s="21">
        <v>0.95795333457021092</v>
      </c>
      <c r="AK138" s="21">
        <v>-66.334815965751858</v>
      </c>
      <c r="AL138" s="24" t="s">
        <v>159</v>
      </c>
      <c r="AM138" s="21">
        <v>66.811213251077149</v>
      </c>
      <c r="AN138" s="21">
        <v>-66.334815965751858</v>
      </c>
      <c r="AO138" s="21"/>
      <c r="AP138" s="15">
        <v>201.6607682916472</v>
      </c>
      <c r="AQ138" s="15">
        <v>158.3392317083528</v>
      </c>
      <c r="AR138" s="15">
        <v>-1.1843095201323468</v>
      </c>
      <c r="AS138" s="15">
        <v>1</v>
      </c>
      <c r="AT138" s="15">
        <v>0.49239643218046819</v>
      </c>
      <c r="AU138" s="15">
        <v>0.49239643218046819</v>
      </c>
      <c r="AV138" s="15">
        <v>-5.6007743778212847E-2</v>
      </c>
      <c r="AW138" s="15">
        <v>0.43638868840225536</v>
      </c>
      <c r="AX138" s="15">
        <v>66.815698656410859</v>
      </c>
      <c r="AY138" s="15">
        <v>66.815698656410859</v>
      </c>
      <c r="AZ138" s="15">
        <v>-12.249309520132346</v>
      </c>
      <c r="BA138" s="21">
        <v>0.95794013080521823</v>
      </c>
      <c r="BB138" s="21">
        <v>-66.33104675980627</v>
      </c>
      <c r="BC138" s="24" t="s">
        <v>159</v>
      </c>
      <c r="BD138" s="21">
        <v>66.815698656410859</v>
      </c>
      <c r="BE138" s="21">
        <v>-66.33104675980627</v>
      </c>
      <c r="BF138" s="19"/>
      <c r="BG138" s="19"/>
      <c r="BH138" s="15"/>
      <c r="BI138" s="19"/>
      <c r="BJ138" s="15"/>
      <c r="BK138" s="19"/>
      <c r="BL138" s="15"/>
      <c r="BM138" s="19"/>
      <c r="BN138" s="19"/>
      <c r="BO138" s="19"/>
      <c r="BP138" s="19"/>
      <c r="BQ138" s="19"/>
      <c r="BR138" s="19"/>
      <c r="BS138" s="19"/>
      <c r="BT138" s="2"/>
      <c r="BU138" s="19"/>
      <c r="BV138" s="19"/>
      <c r="BW138" s="19"/>
      <c r="BX138" s="19"/>
      <c r="BY138" s="19"/>
      <c r="BZ138" s="2"/>
      <c r="CA138" s="19"/>
      <c r="CB138" s="19"/>
      <c r="CC138" s="19"/>
      <c r="CD138" s="19"/>
      <c r="CE138" s="19"/>
      <c r="CF138" s="15"/>
      <c r="CG138" s="15"/>
      <c r="CH138" s="21"/>
      <c r="CI138" s="15"/>
      <c r="CJ138" s="15"/>
      <c r="CK138" s="15"/>
      <c r="CL138" s="15"/>
      <c r="CM138" s="15"/>
      <c r="CN138" s="15"/>
      <c r="CO138" s="15"/>
      <c r="CP138" s="15"/>
      <c r="CQ138" s="15"/>
      <c r="CR138" s="15"/>
      <c r="CS138" s="15"/>
      <c r="CT138" s="15"/>
      <c r="CU138" s="15"/>
      <c r="CV138" s="15"/>
      <c r="CW138" s="15"/>
      <c r="CX138" s="15"/>
      <c r="CY138" s="15"/>
      <c r="CZ138" s="10"/>
      <c r="DA138" s="10"/>
      <c r="DB138" s="10"/>
      <c r="DC138" s="10"/>
      <c r="DD138" s="10"/>
      <c r="DE138" s="10"/>
      <c r="DF138" s="10"/>
      <c r="DG138" s="10"/>
      <c r="DH138" s="10"/>
      <c r="DI138" s="10"/>
      <c r="DJ138" s="10"/>
      <c r="DK138" s="15"/>
      <c r="DL138" s="15"/>
      <c r="DM138" s="15"/>
      <c r="DN138" s="15"/>
      <c r="DO138" s="15"/>
      <c r="DP138" s="15"/>
      <c r="DQ138" s="15"/>
      <c r="DR138" s="15"/>
      <c r="DS138" s="15"/>
      <c r="DT138" s="15"/>
      <c r="DU138" s="15"/>
      <c r="DV138" s="15"/>
      <c r="DW138" s="15"/>
      <c r="DX138" s="15"/>
      <c r="DY138" s="15"/>
      <c r="DZ138" s="15"/>
      <c r="EA138" s="15"/>
      <c r="EB138" s="15"/>
      <c r="EC138" s="15"/>
      <c r="ED138" s="15"/>
      <c r="EE138" s="15"/>
      <c r="EF138" s="15"/>
      <c r="EG138" s="15"/>
      <c r="EH138" s="15"/>
      <c r="EI138" s="15"/>
      <c r="EJ138" s="15"/>
      <c r="EK138" s="15"/>
      <c r="EL138" s="15"/>
      <c r="EM138" s="15"/>
      <c r="EN138" s="15"/>
      <c r="EO138" s="15"/>
      <c r="EP138" s="15"/>
      <c r="EQ138" s="15"/>
      <c r="ER138" s="15"/>
      <c r="ES138" s="15"/>
      <c r="ET138" s="15"/>
      <c r="EU138" s="15"/>
      <c r="EV138" s="15"/>
      <c r="EW138" s="15"/>
      <c r="EX138" s="15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</row>
    <row r="139" spans="1:228" ht="15" hidden="1">
      <c r="A139" s="85"/>
      <c r="B139" s="205" t="s">
        <v>190</v>
      </c>
      <c r="C139" s="85">
        <v>9.2211111111111119</v>
      </c>
      <c r="D139" s="85">
        <v>-69.713333333333338</v>
      </c>
      <c r="E139" s="206">
        <v>221.4873420657724</v>
      </c>
      <c r="F139" s="206">
        <v>-69.791685386420326</v>
      </c>
      <c r="G139" s="206">
        <v>4.3466670024588936</v>
      </c>
      <c r="H139" s="206">
        <v>-8.3684065664796563</v>
      </c>
      <c r="I139" s="85">
        <v>221.4921757366408</v>
      </c>
      <c r="J139" s="85">
        <v>-69.792416593126745</v>
      </c>
      <c r="K139" s="85"/>
      <c r="L139" s="206"/>
      <c r="M139" s="85"/>
      <c r="N139" s="201"/>
      <c r="O139" s="202" t="s">
        <v>160</v>
      </c>
      <c r="P139" s="201">
        <v>0</v>
      </c>
      <c r="Q139" s="201"/>
      <c r="R139" s="201"/>
      <c r="S139" s="201"/>
      <c r="T139" s="201"/>
      <c r="U139" s="15"/>
      <c r="V139" s="15"/>
      <c r="W139" s="15"/>
      <c r="X139" s="15"/>
      <c r="Y139" s="15">
        <v>143.81329035993127</v>
      </c>
      <c r="Z139" s="15">
        <v>143.81329035993127</v>
      </c>
      <c r="AA139" s="15">
        <v>-8.7416527667868156</v>
      </c>
      <c r="AB139" s="15">
        <v>1</v>
      </c>
      <c r="AC139" s="15">
        <v>0.2673260696708038</v>
      </c>
      <c r="AD139" s="15">
        <v>0.2673260696708038</v>
      </c>
      <c r="AE139" s="15">
        <v>-0.26043491955197173</v>
      </c>
      <c r="AF139" s="15">
        <v>6.8911501188320679E-3</v>
      </c>
      <c r="AG139" s="15">
        <v>89.612512016635606</v>
      </c>
      <c r="AH139" s="15">
        <v>270.38748798336439</v>
      </c>
      <c r="AI139" s="15">
        <v>-19.806652766786815</v>
      </c>
      <c r="AJ139" s="21">
        <v>0.90603022892371032</v>
      </c>
      <c r="AK139" s="21">
        <v>-54.297734997120131</v>
      </c>
      <c r="AL139" s="24" t="s">
        <v>160</v>
      </c>
      <c r="AM139" s="21">
        <v>270.38748798336439</v>
      </c>
      <c r="AN139" s="21">
        <v>-54.297734997120131</v>
      </c>
      <c r="AO139" s="21"/>
      <c r="AP139" s="15">
        <v>143.81746843448582</v>
      </c>
      <c r="AQ139" s="15">
        <v>143.81746843448582</v>
      </c>
      <c r="AR139" s="15">
        <v>-8.7416527667868156</v>
      </c>
      <c r="AS139" s="15">
        <v>1</v>
      </c>
      <c r="AT139" s="15">
        <v>0.26736698182418261</v>
      </c>
      <c r="AU139" s="15">
        <v>0.26736698182418261</v>
      </c>
      <c r="AV139" s="15">
        <v>-0.26046088367147285</v>
      </c>
      <c r="AW139" s="15">
        <v>6.9060981527097609E-3</v>
      </c>
      <c r="AX139" s="15">
        <v>89.611671517413214</v>
      </c>
      <c r="AY139" s="15">
        <v>270.38832848258676</v>
      </c>
      <c r="AZ139" s="15">
        <v>-19.806652766786815</v>
      </c>
      <c r="BA139" s="21">
        <v>0.90605110928070542</v>
      </c>
      <c r="BB139" s="21">
        <v>-54.301835307653448</v>
      </c>
      <c r="BC139" s="24" t="s">
        <v>160</v>
      </c>
      <c r="BD139" s="21">
        <v>270.38832848258676</v>
      </c>
      <c r="BE139" s="21">
        <v>-54.301835307653448</v>
      </c>
      <c r="BF139" s="19"/>
      <c r="BG139" s="19"/>
      <c r="BH139" s="15"/>
      <c r="BI139" s="19"/>
      <c r="BJ139" s="15"/>
      <c r="BK139" s="19"/>
      <c r="BL139" s="15"/>
      <c r="BM139" s="19"/>
      <c r="BN139" s="19"/>
      <c r="BO139" s="19"/>
      <c r="BP139" s="19"/>
      <c r="BQ139" s="19"/>
      <c r="BR139" s="19"/>
      <c r="BS139" s="19"/>
      <c r="BT139" s="2"/>
      <c r="BU139" s="19"/>
      <c r="BV139" s="19"/>
      <c r="BW139" s="19"/>
      <c r="BX139" s="19"/>
      <c r="BY139" s="19"/>
      <c r="BZ139" s="2"/>
      <c r="CA139" s="19"/>
      <c r="CB139" s="19"/>
      <c r="CC139" s="19"/>
      <c r="CD139" s="19"/>
      <c r="CE139" s="19"/>
      <c r="CF139" s="15"/>
      <c r="CG139" s="15"/>
      <c r="CH139" s="21"/>
      <c r="CI139" s="15"/>
      <c r="CJ139" s="15"/>
      <c r="CK139" s="15"/>
      <c r="CL139" s="15"/>
      <c r="CM139" s="15"/>
      <c r="CN139" s="15"/>
      <c r="CO139" s="15"/>
      <c r="CP139" s="15"/>
      <c r="CQ139" s="15"/>
      <c r="CR139" s="15"/>
      <c r="CS139" s="15"/>
      <c r="CT139" s="15"/>
      <c r="CU139" s="15"/>
      <c r="CV139" s="15"/>
      <c r="CW139" s="15"/>
      <c r="CX139" s="15"/>
      <c r="CY139" s="15"/>
      <c r="CZ139" s="10"/>
      <c r="DA139" s="10"/>
      <c r="DB139" s="10"/>
      <c r="DC139" s="10"/>
      <c r="DD139" s="10"/>
      <c r="DE139" s="10"/>
      <c r="DF139" s="10"/>
      <c r="DG139" s="10"/>
      <c r="DH139" s="10"/>
      <c r="DI139" s="10"/>
      <c r="DJ139" s="10"/>
      <c r="DK139" s="15"/>
      <c r="DL139" s="15"/>
      <c r="DM139" s="15"/>
      <c r="DN139" s="15"/>
      <c r="DO139" s="15"/>
      <c r="DP139" s="15"/>
      <c r="DQ139" s="15"/>
      <c r="DR139" s="15"/>
      <c r="DS139" s="15"/>
      <c r="DT139" s="15"/>
      <c r="DU139" s="15"/>
      <c r="DV139" s="15"/>
      <c r="DW139" s="15"/>
      <c r="DX139" s="15"/>
      <c r="DY139" s="15"/>
      <c r="DZ139" s="15"/>
      <c r="EA139" s="15"/>
      <c r="EB139" s="15"/>
      <c r="EC139" s="15"/>
      <c r="ED139" s="15"/>
      <c r="EE139" s="15"/>
      <c r="EF139" s="15"/>
      <c r="EG139" s="15"/>
      <c r="EH139" s="15"/>
      <c r="EI139" s="15"/>
      <c r="EJ139" s="15"/>
      <c r="EK139" s="15"/>
      <c r="EL139" s="15"/>
      <c r="EM139" s="15"/>
      <c r="EN139" s="15"/>
      <c r="EO139" s="15"/>
      <c r="EP139" s="15"/>
      <c r="EQ139" s="15"/>
      <c r="ER139" s="15"/>
      <c r="ES139" s="15"/>
      <c r="ET139" s="15"/>
      <c r="EU139" s="15"/>
      <c r="EV139" s="15"/>
      <c r="EW139" s="15"/>
      <c r="EX139" s="15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</row>
    <row r="140" spans="1:228" ht="15" hidden="1">
      <c r="A140" s="85"/>
      <c r="B140" s="205" t="s">
        <v>191</v>
      </c>
      <c r="C140" s="85">
        <v>3.4055555555555554</v>
      </c>
      <c r="D140" s="85">
        <v>49.861666666666665</v>
      </c>
      <c r="E140" s="206">
        <v>308.66780405681476</v>
      </c>
      <c r="F140" s="206">
        <v>49.927571652980589</v>
      </c>
      <c r="G140" s="206">
        <v>4.3466670024588936</v>
      </c>
      <c r="H140" s="206">
        <v>-8.3684065664796563</v>
      </c>
      <c r="I140" s="85">
        <v>308.67020905433748</v>
      </c>
      <c r="J140" s="85">
        <v>49.927735290500401</v>
      </c>
      <c r="K140" s="85"/>
      <c r="L140" s="206"/>
      <c r="M140" s="85"/>
      <c r="N140" s="201"/>
      <c r="O140" s="202" t="s">
        <v>161</v>
      </c>
      <c r="P140" s="201">
        <v>0</v>
      </c>
      <c r="Q140" s="201"/>
      <c r="R140" s="201"/>
      <c r="S140" s="201"/>
      <c r="T140" s="201"/>
      <c r="U140" s="15"/>
      <c r="V140" s="15"/>
      <c r="W140" s="15"/>
      <c r="X140" s="15"/>
      <c r="Y140" s="15">
        <v>52.033616379687359</v>
      </c>
      <c r="Z140" s="15">
        <v>52.033616379687359</v>
      </c>
      <c r="AA140" s="15">
        <v>26.651926189216045</v>
      </c>
      <c r="AB140" s="15">
        <v>0</v>
      </c>
      <c r="AC140" s="15">
        <v>0.15260188580501055</v>
      </c>
      <c r="AD140" s="15">
        <v>-0.15260188580501055</v>
      </c>
      <c r="AE140" s="15">
        <v>0.63662441353119281</v>
      </c>
      <c r="AF140" s="15">
        <v>0.48402252772618226</v>
      </c>
      <c r="AG140" s="15">
        <v>64.591132340021389</v>
      </c>
      <c r="AH140" s="15">
        <v>295.40886765997863</v>
      </c>
      <c r="AI140" s="15">
        <v>15.586926189216046</v>
      </c>
      <c r="AJ140" s="21">
        <v>0.18714893416726358</v>
      </c>
      <c r="AK140" s="21">
        <v>38.733740625739884</v>
      </c>
      <c r="AL140" s="24" t="s">
        <v>161</v>
      </c>
      <c r="AM140" s="21">
        <v>295.40886765997863</v>
      </c>
      <c r="AN140" s="21">
        <v>38.733740625739884</v>
      </c>
      <c r="AO140" s="21"/>
      <c r="AP140" s="15">
        <v>52.037794454241919</v>
      </c>
      <c r="AQ140" s="15">
        <v>52.037794454241919</v>
      </c>
      <c r="AR140" s="15">
        <v>26.651926189216045</v>
      </c>
      <c r="AS140" s="15">
        <v>0</v>
      </c>
      <c r="AT140" s="15">
        <v>0.15257894323855573</v>
      </c>
      <c r="AU140" s="15">
        <v>-0.15257894323855573</v>
      </c>
      <c r="AV140" s="15">
        <v>0.63658819120149368</v>
      </c>
      <c r="AW140" s="15">
        <v>0.48400924796293798</v>
      </c>
      <c r="AX140" s="15">
        <v>64.591741595981389</v>
      </c>
      <c r="AY140" s="15">
        <v>295.40825840401862</v>
      </c>
      <c r="AZ140" s="15">
        <v>15.586926189216046</v>
      </c>
      <c r="BA140" s="21">
        <v>0.18717414763903445</v>
      </c>
      <c r="BB140" s="21">
        <v>38.730036848533423</v>
      </c>
      <c r="BC140" s="24" t="s">
        <v>161</v>
      </c>
      <c r="BD140" s="21">
        <v>295.40825840401862</v>
      </c>
      <c r="BE140" s="21">
        <v>38.730036848533423</v>
      </c>
      <c r="BF140" s="19"/>
      <c r="BG140" s="19"/>
      <c r="BH140" s="15"/>
      <c r="BI140" s="19"/>
      <c r="BJ140" s="15"/>
      <c r="BK140" s="19"/>
      <c r="BL140" s="15"/>
      <c r="BM140" s="19"/>
      <c r="BN140" s="19"/>
      <c r="BO140" s="19"/>
      <c r="BP140" s="19"/>
      <c r="BQ140" s="19"/>
      <c r="BR140" s="19"/>
      <c r="BS140" s="19"/>
      <c r="BT140" s="2"/>
      <c r="BU140" s="19"/>
      <c r="BV140" s="19"/>
      <c r="BW140" s="19"/>
      <c r="BX140" s="19"/>
      <c r="BY140" s="19"/>
      <c r="BZ140" s="2"/>
      <c r="CA140" s="19"/>
      <c r="CB140" s="19"/>
      <c r="CC140" s="19"/>
      <c r="CD140" s="19"/>
      <c r="CE140" s="19"/>
      <c r="CF140" s="15"/>
      <c r="CG140" s="15"/>
      <c r="CH140" s="21"/>
      <c r="CI140" s="15"/>
      <c r="CJ140" s="15"/>
      <c r="CK140" s="15"/>
      <c r="CL140" s="15"/>
      <c r="CM140" s="15"/>
      <c r="CN140" s="15"/>
      <c r="CO140" s="15"/>
      <c r="CP140" s="15"/>
      <c r="CQ140" s="15"/>
      <c r="CR140" s="15"/>
      <c r="CS140" s="15"/>
      <c r="CT140" s="15"/>
      <c r="CU140" s="15"/>
      <c r="CV140" s="15"/>
      <c r="CW140" s="15"/>
      <c r="CX140" s="15"/>
      <c r="CY140" s="15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15"/>
      <c r="DL140" s="15"/>
      <c r="DM140" s="15"/>
      <c r="DN140" s="15"/>
      <c r="DO140" s="15"/>
      <c r="DP140" s="15"/>
      <c r="DQ140" s="15"/>
      <c r="DR140" s="15"/>
      <c r="DS140" s="15"/>
      <c r="DT140" s="15"/>
      <c r="DU140" s="15"/>
      <c r="DV140" s="15"/>
      <c r="DW140" s="15"/>
      <c r="DX140" s="15"/>
      <c r="DY140" s="15"/>
      <c r="DZ140" s="15"/>
      <c r="EA140" s="15"/>
      <c r="EB140" s="15"/>
      <c r="EC140" s="15"/>
      <c r="ED140" s="15"/>
      <c r="EE140" s="15"/>
      <c r="EF140" s="15"/>
      <c r="EG140" s="15"/>
      <c r="EH140" s="15"/>
      <c r="EI140" s="15"/>
      <c r="EJ140" s="15"/>
      <c r="EK140" s="15"/>
      <c r="EL140" s="15"/>
      <c r="EM140" s="15"/>
      <c r="EN140" s="15"/>
      <c r="EO140" s="15"/>
      <c r="EP140" s="15"/>
      <c r="EQ140" s="15"/>
      <c r="ER140" s="15"/>
      <c r="ES140" s="15"/>
      <c r="ET140" s="15"/>
      <c r="EU140" s="15"/>
      <c r="EV140" s="15"/>
      <c r="EW140" s="15"/>
      <c r="EX140" s="15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</row>
    <row r="141" spans="1:228" ht="15" hidden="1">
      <c r="A141" s="85"/>
      <c r="B141" s="205" t="s">
        <v>192</v>
      </c>
      <c r="C141" s="85">
        <v>18.92027777777778</v>
      </c>
      <c r="D141" s="85">
        <v>-26.295000000000002</v>
      </c>
      <c r="E141" s="206">
        <v>75.971170707828549</v>
      </c>
      <c r="F141" s="206">
        <v>-26.269967424961187</v>
      </c>
      <c r="G141" s="206">
        <v>4.3466670024588936</v>
      </c>
      <c r="H141" s="206">
        <v>-8.3684065664796563</v>
      </c>
      <c r="I141" s="85">
        <v>75.970844274283181</v>
      </c>
      <c r="J141" s="85">
        <v>-26.270606564737925</v>
      </c>
      <c r="K141" s="85"/>
      <c r="L141" s="206"/>
      <c r="M141" s="85"/>
      <c r="N141" s="201"/>
      <c r="O141" s="202" t="s">
        <v>162</v>
      </c>
      <c r="P141" s="201">
        <v>0</v>
      </c>
      <c r="Q141" s="201"/>
      <c r="R141" s="201"/>
      <c r="S141" s="201"/>
      <c r="T141" s="201"/>
      <c r="U141" s="15"/>
      <c r="V141" s="15"/>
      <c r="W141" s="15"/>
      <c r="X141" s="15"/>
      <c r="Y141" s="15">
        <v>283.62005645912518</v>
      </c>
      <c r="Z141" s="15">
        <v>76.37994354087482</v>
      </c>
      <c r="AA141" s="15">
        <v>29.19698369674569</v>
      </c>
      <c r="AB141" s="15">
        <v>0</v>
      </c>
      <c r="AC141" s="15">
        <v>4.7382902491228576E-2</v>
      </c>
      <c r="AD141" s="15">
        <v>-4.7382902491228576E-2</v>
      </c>
      <c r="AE141" s="15">
        <v>0.57498128574049934</v>
      </c>
      <c r="AF141" s="15">
        <v>0.52759838324927077</v>
      </c>
      <c r="AG141" s="15">
        <v>62.625313878493998</v>
      </c>
      <c r="AH141" s="15">
        <v>62.625313878493998</v>
      </c>
      <c r="AI141" s="15">
        <v>18.131983696745692</v>
      </c>
      <c r="AJ141" s="21">
        <v>0.3523176071028819</v>
      </c>
      <c r="AK141" s="21">
        <v>17.179412807556062</v>
      </c>
      <c r="AL141" s="24" t="s">
        <v>162</v>
      </c>
      <c r="AM141" s="21">
        <v>62.625313878493998</v>
      </c>
      <c r="AN141" s="21">
        <v>17.179412807556062</v>
      </c>
      <c r="AO141" s="21"/>
      <c r="AP141" s="15">
        <v>283.62423453367978</v>
      </c>
      <c r="AQ141" s="15">
        <v>76.375765466320217</v>
      </c>
      <c r="AR141" s="15">
        <v>29.19698369674569</v>
      </c>
      <c r="AS141" s="15">
        <v>0</v>
      </c>
      <c r="AT141" s="15">
        <v>4.7398000251381536E-2</v>
      </c>
      <c r="AU141" s="15">
        <v>-4.7398000251381536E-2</v>
      </c>
      <c r="AV141" s="15">
        <v>0.57499144650966527</v>
      </c>
      <c r="AW141" s="15">
        <v>0.52759344625828375</v>
      </c>
      <c r="AX141" s="15">
        <v>62.625532795997472</v>
      </c>
      <c r="AY141" s="15">
        <v>62.625532795997472</v>
      </c>
      <c r="AZ141" s="15">
        <v>18.131983696745692</v>
      </c>
      <c r="BA141" s="21">
        <v>0.35228724928690264</v>
      </c>
      <c r="BB141" s="21">
        <v>17.183054046708719</v>
      </c>
      <c r="BC141" s="24" t="s">
        <v>162</v>
      </c>
      <c r="BD141" s="21">
        <v>62.625532795997472</v>
      </c>
      <c r="BE141" s="21">
        <v>17.183054046708719</v>
      </c>
      <c r="BF141" s="19"/>
      <c r="BG141" s="19"/>
      <c r="BH141" s="15"/>
      <c r="BI141" s="19"/>
      <c r="BJ141" s="15"/>
      <c r="BK141" s="19"/>
      <c r="BL141" s="15"/>
      <c r="BM141" s="19"/>
      <c r="BN141" s="19"/>
      <c r="BO141" s="19"/>
      <c r="BP141" s="19"/>
      <c r="BQ141" s="19"/>
      <c r="BR141" s="19"/>
      <c r="BS141" s="19"/>
      <c r="BT141" s="2"/>
      <c r="BU141" s="19"/>
      <c r="BV141" s="19"/>
      <c r="BW141" s="19"/>
      <c r="BX141" s="19"/>
      <c r="BY141" s="19"/>
      <c r="BZ141" s="2"/>
      <c r="CA141" s="19"/>
      <c r="CB141" s="19"/>
      <c r="CC141" s="19"/>
      <c r="CD141" s="19"/>
      <c r="CE141" s="19"/>
      <c r="CF141" s="15"/>
      <c r="CG141" s="15"/>
      <c r="CH141" s="21"/>
      <c r="CI141" s="15"/>
      <c r="CJ141" s="15"/>
      <c r="CK141" s="15"/>
      <c r="CL141" s="15"/>
      <c r="CM141" s="15"/>
      <c r="CN141" s="15"/>
      <c r="CO141" s="15"/>
      <c r="CP141" s="15"/>
      <c r="CQ141" s="15"/>
      <c r="CR141" s="15"/>
      <c r="CS141" s="15"/>
      <c r="CT141" s="15"/>
      <c r="CU141" s="15"/>
      <c r="CV141" s="15"/>
      <c r="CW141" s="15"/>
      <c r="CX141" s="15"/>
      <c r="CY141" s="15"/>
      <c r="CZ141" s="10"/>
      <c r="DA141" s="10"/>
      <c r="DB141" s="10"/>
      <c r="DC141" s="10"/>
      <c r="DD141" s="10"/>
      <c r="DE141" s="10"/>
      <c r="DF141" s="10"/>
      <c r="DG141" s="10"/>
      <c r="DH141" s="10"/>
      <c r="DI141" s="10"/>
      <c r="DJ141" s="10"/>
      <c r="DK141" s="15"/>
      <c r="DL141" s="15"/>
      <c r="DM141" s="15"/>
      <c r="DN141" s="15"/>
      <c r="DO141" s="15"/>
      <c r="DP141" s="15"/>
      <c r="DQ141" s="15"/>
      <c r="DR141" s="15"/>
      <c r="DS141" s="15"/>
      <c r="DT141" s="15"/>
      <c r="DU141" s="15"/>
      <c r="DV141" s="15"/>
      <c r="DW141" s="15"/>
      <c r="DX141" s="15"/>
      <c r="DY141" s="15"/>
      <c r="DZ141" s="15"/>
      <c r="EA141" s="15"/>
      <c r="EB141" s="15"/>
      <c r="EC141" s="15"/>
      <c r="ED141" s="15"/>
      <c r="EE141" s="15"/>
      <c r="EF141" s="15"/>
      <c r="EG141" s="15"/>
      <c r="EH141" s="15"/>
      <c r="EI141" s="15"/>
      <c r="EJ141" s="15"/>
      <c r="EK141" s="15"/>
      <c r="EL141" s="15"/>
      <c r="EM141" s="15"/>
      <c r="EN141" s="15"/>
      <c r="EO141" s="15"/>
      <c r="EP141" s="15"/>
      <c r="EQ141" s="15"/>
      <c r="ER141" s="15"/>
      <c r="ES141" s="15"/>
      <c r="ET141" s="15"/>
      <c r="EU141" s="15"/>
      <c r="EV141" s="15"/>
      <c r="EW141" s="15"/>
      <c r="EX141" s="15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</row>
    <row r="142" spans="1:228" ht="15" hidden="1">
      <c r="A142" s="85"/>
      <c r="B142" s="205" t="s">
        <v>193</v>
      </c>
      <c r="C142" s="85">
        <v>20.426388888888891</v>
      </c>
      <c r="D142" s="85">
        <v>-56.736666666666665</v>
      </c>
      <c r="E142" s="206">
        <v>53.418513569608876</v>
      </c>
      <c r="F142" s="206">
        <v>-56.674415687827626</v>
      </c>
      <c r="G142" s="206">
        <v>4.3466670024588936</v>
      </c>
      <c r="H142" s="206">
        <v>-8.3684065664796563</v>
      </c>
      <c r="I142" s="85">
        <v>53.416206627593539</v>
      </c>
      <c r="J142" s="85">
        <v>-56.674941971992666</v>
      </c>
      <c r="K142" s="85"/>
      <c r="L142" s="206"/>
      <c r="M142" s="85"/>
      <c r="N142" s="201"/>
      <c r="O142" s="202" t="s">
        <v>163</v>
      </c>
      <c r="P142" s="201">
        <v>0</v>
      </c>
      <c r="Q142" s="201"/>
      <c r="R142" s="201"/>
      <c r="S142" s="201"/>
      <c r="T142" s="201"/>
      <c r="U142" s="15"/>
      <c r="V142" s="15"/>
      <c r="W142" s="15"/>
      <c r="X142" s="15"/>
      <c r="Y142" s="15">
        <v>348.01802226034806</v>
      </c>
      <c r="Z142" s="15">
        <v>11.981977739651938</v>
      </c>
      <c r="AA142" s="15">
        <v>8.9165148647359942</v>
      </c>
      <c r="AB142" s="15">
        <v>0</v>
      </c>
      <c r="AC142" s="15">
        <v>0.92145267969988287</v>
      </c>
      <c r="AD142" s="15">
        <v>-0.92145267969988287</v>
      </c>
      <c r="AE142" s="15">
        <v>0.75572309083572842</v>
      </c>
      <c r="AF142" s="15">
        <v>-0.16572958886415445</v>
      </c>
      <c r="AG142" s="15">
        <v>80.761813815494264</v>
      </c>
      <c r="AH142" s="15">
        <v>99.238186184505736</v>
      </c>
      <c r="AI142" s="15">
        <v>-2.1484851352640053</v>
      </c>
      <c r="AJ142" s="21">
        <v>1.0913303041431994E-2</v>
      </c>
      <c r="AK142" s="21">
        <v>78.007110095948747</v>
      </c>
      <c r="AL142" s="24" t="s">
        <v>163</v>
      </c>
      <c r="AM142" s="21">
        <v>99.238186184505736</v>
      </c>
      <c r="AN142" s="21">
        <v>78.007110095948747</v>
      </c>
      <c r="AO142" s="21"/>
      <c r="AP142" s="15">
        <v>348.02220033490266</v>
      </c>
      <c r="AQ142" s="15">
        <v>11.977799665097336</v>
      </c>
      <c r="AR142" s="15">
        <v>8.9165148647359942</v>
      </c>
      <c r="AS142" s="15">
        <v>0</v>
      </c>
      <c r="AT142" s="15">
        <v>0.92178366347201213</v>
      </c>
      <c r="AU142" s="15">
        <v>-0.92178366347201213</v>
      </c>
      <c r="AV142" s="15">
        <v>0.75598284740081734</v>
      </c>
      <c r="AW142" s="15">
        <v>-0.16580081607119479</v>
      </c>
      <c r="AX142" s="15">
        <v>80.757911930097549</v>
      </c>
      <c r="AY142" s="15">
        <v>99.242088069902451</v>
      </c>
      <c r="AZ142" s="15">
        <v>-2.1484851352640053</v>
      </c>
      <c r="BA142" s="21">
        <v>1.0905965427333594E-2</v>
      </c>
      <c r="BB142" s="21">
        <v>78.011157293699426</v>
      </c>
      <c r="BC142" s="24" t="s">
        <v>163</v>
      </c>
      <c r="BD142" s="21">
        <v>99.242088069902451</v>
      </c>
      <c r="BE142" s="21">
        <v>78.011157293699426</v>
      </c>
      <c r="BF142" s="19"/>
      <c r="BG142" s="19"/>
      <c r="BH142" s="15"/>
      <c r="BI142" s="19"/>
      <c r="BJ142" s="15"/>
      <c r="BK142" s="19"/>
      <c r="BL142" s="15"/>
      <c r="BM142" s="19"/>
      <c r="BN142" s="19"/>
      <c r="BO142" s="19"/>
      <c r="BP142" s="19"/>
      <c r="BQ142" s="19"/>
      <c r="BR142" s="19"/>
      <c r="BS142" s="19"/>
      <c r="BT142" s="2"/>
      <c r="BU142" s="19"/>
      <c r="BV142" s="19"/>
      <c r="BW142" s="19"/>
      <c r="BX142" s="19"/>
      <c r="BY142" s="19"/>
      <c r="BZ142" s="2"/>
      <c r="CA142" s="19"/>
      <c r="CB142" s="19"/>
      <c r="CC142" s="19"/>
      <c r="CD142" s="19"/>
      <c r="CE142" s="19"/>
      <c r="CF142" s="15"/>
      <c r="CG142" s="15"/>
      <c r="CH142" s="21"/>
      <c r="CI142" s="15"/>
      <c r="CJ142" s="15"/>
      <c r="CK142" s="15"/>
      <c r="CL142" s="15"/>
      <c r="CM142" s="15"/>
      <c r="CN142" s="15"/>
      <c r="CO142" s="15"/>
      <c r="CP142" s="15"/>
      <c r="CQ142" s="15"/>
      <c r="CR142" s="15"/>
      <c r="CS142" s="15"/>
      <c r="CT142" s="15"/>
      <c r="CU142" s="15"/>
      <c r="CV142" s="15"/>
      <c r="CW142" s="15"/>
      <c r="CX142" s="15"/>
      <c r="CY142" s="15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5"/>
      <c r="DL142" s="15"/>
      <c r="DM142" s="15"/>
      <c r="DN142" s="15"/>
      <c r="DO142" s="15"/>
      <c r="DP142" s="15"/>
      <c r="DQ142" s="15"/>
      <c r="DR142" s="15"/>
      <c r="DS142" s="15"/>
      <c r="DT142" s="15"/>
      <c r="DU142" s="15"/>
      <c r="DV142" s="15"/>
      <c r="DW142" s="15"/>
      <c r="DX142" s="15"/>
      <c r="DY142" s="15"/>
      <c r="DZ142" s="15"/>
      <c r="EA142" s="15"/>
      <c r="EB142" s="15"/>
      <c r="EC142" s="15"/>
      <c r="ED142" s="15"/>
      <c r="EE142" s="15"/>
      <c r="EF142" s="15"/>
      <c r="EG142" s="15"/>
      <c r="EH142" s="15"/>
      <c r="EI142" s="15"/>
      <c r="EJ142" s="15"/>
      <c r="EK142" s="15"/>
      <c r="EL142" s="15"/>
      <c r="EM142" s="15"/>
      <c r="EN142" s="15"/>
      <c r="EO142" s="15"/>
      <c r="EP142" s="15"/>
      <c r="EQ142" s="15"/>
      <c r="ER142" s="15"/>
      <c r="ES142" s="15"/>
      <c r="ET142" s="15"/>
      <c r="EU142" s="15"/>
      <c r="EV142" s="15"/>
      <c r="EW142" s="15"/>
      <c r="EX142" s="15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</row>
    <row r="143" spans="1:228" ht="15" hidden="1">
      <c r="A143" s="85"/>
      <c r="B143" s="205" t="s">
        <v>194</v>
      </c>
      <c r="C143" s="85">
        <v>7.7555555555555555</v>
      </c>
      <c r="D143" s="85">
        <v>28.024999999999999</v>
      </c>
      <c r="E143" s="206">
        <v>243.41765924273699</v>
      </c>
      <c r="F143" s="206">
        <v>27.978461538384028</v>
      </c>
      <c r="G143" s="206">
        <v>4.3466670024588936</v>
      </c>
      <c r="H143" s="206">
        <v>-8.3684065664796563</v>
      </c>
      <c r="I143" s="85">
        <v>243.41778902386829</v>
      </c>
      <c r="J143" s="85">
        <v>27.97793478579036</v>
      </c>
      <c r="K143" s="85"/>
      <c r="L143" s="206"/>
      <c r="M143" s="85"/>
      <c r="N143" s="201"/>
      <c r="O143" s="202" t="s">
        <v>164</v>
      </c>
      <c r="P143" s="201">
        <v>0</v>
      </c>
      <c r="Q143" s="201"/>
      <c r="R143" s="201"/>
      <c r="S143" s="201"/>
      <c r="T143" s="201"/>
      <c r="U143" s="15"/>
      <c r="V143" s="15"/>
      <c r="W143" s="15"/>
      <c r="X143" s="15"/>
      <c r="Y143" s="15">
        <v>279.1424737498042</v>
      </c>
      <c r="Z143" s="15">
        <v>80.857526250195804</v>
      </c>
      <c r="AA143" s="15">
        <v>-42.206982952060379</v>
      </c>
      <c r="AB143" s="15">
        <v>0</v>
      </c>
      <c r="AC143" s="15">
        <v>3.147200557781827E-2</v>
      </c>
      <c r="AD143" s="15">
        <v>-3.147200557781827E-2</v>
      </c>
      <c r="AE143" s="15">
        <v>-0.91863682824374027</v>
      </c>
      <c r="AF143" s="15">
        <v>-0.95010883382155853</v>
      </c>
      <c r="AG143" s="15">
        <v>47.002105285076453</v>
      </c>
      <c r="AH143" s="15">
        <v>132.99789471492355</v>
      </c>
      <c r="AI143" s="15">
        <v>-53.271982952060377</v>
      </c>
      <c r="AJ143" s="21">
        <v>0.50671504700848424</v>
      </c>
      <c r="AK143" s="21">
        <v>-0.76951083926660147</v>
      </c>
      <c r="AL143" s="24" t="s">
        <v>164</v>
      </c>
      <c r="AM143" s="21">
        <v>132.99789471492355</v>
      </c>
      <c r="AN143" s="21">
        <v>-0.76951083926660147</v>
      </c>
      <c r="AO143" s="21"/>
      <c r="AP143" s="15">
        <v>279.14665182435874</v>
      </c>
      <c r="AQ143" s="15">
        <v>80.853348175641258</v>
      </c>
      <c r="AR143" s="15">
        <v>-42.206982952060379</v>
      </c>
      <c r="AS143" s="15">
        <v>0</v>
      </c>
      <c r="AT143" s="15">
        <v>3.1486635398342733E-2</v>
      </c>
      <c r="AU143" s="15">
        <v>-3.1486635398342733E-2</v>
      </c>
      <c r="AV143" s="15">
        <v>-0.91864761150042717</v>
      </c>
      <c r="AW143" s="15">
        <v>-0.95013424689876991</v>
      </c>
      <c r="AX143" s="15">
        <v>47.001340904415038</v>
      </c>
      <c r="AY143" s="15">
        <v>132.99865909558497</v>
      </c>
      <c r="AZ143" s="15">
        <v>-53.271982952060377</v>
      </c>
      <c r="BA143" s="21">
        <v>0.50668887875730395</v>
      </c>
      <c r="BB143" s="21">
        <v>-0.7665119091526833</v>
      </c>
      <c r="BC143" s="24" t="s">
        <v>164</v>
      </c>
      <c r="BD143" s="21">
        <v>132.99865909558497</v>
      </c>
      <c r="BE143" s="21">
        <v>-0.7665119091526833</v>
      </c>
      <c r="BF143" s="19"/>
      <c r="BG143" s="19"/>
      <c r="BH143" s="15"/>
      <c r="BI143" s="19"/>
      <c r="BJ143" s="15"/>
      <c r="BK143" s="19"/>
      <c r="BL143" s="15"/>
      <c r="BM143" s="19"/>
      <c r="BN143" s="19"/>
      <c r="BO143" s="19"/>
      <c r="BP143" s="19"/>
      <c r="BQ143" s="19"/>
      <c r="BR143" s="19"/>
      <c r="BS143" s="19"/>
      <c r="BT143" s="2"/>
      <c r="BU143" s="19"/>
      <c r="BV143" s="19"/>
      <c r="BW143" s="19"/>
      <c r="BX143" s="19"/>
      <c r="BY143" s="19"/>
      <c r="BZ143" s="2"/>
      <c r="CA143" s="19"/>
      <c r="CB143" s="19"/>
      <c r="CC143" s="19"/>
      <c r="CD143" s="19"/>
      <c r="CE143" s="19"/>
      <c r="CF143" s="15"/>
      <c r="CG143" s="15"/>
      <c r="CH143" s="21"/>
      <c r="CI143" s="15"/>
      <c r="CJ143" s="15"/>
      <c r="CK143" s="15"/>
      <c r="CL143" s="15"/>
      <c r="CM143" s="15"/>
      <c r="CN143" s="15"/>
      <c r="CO143" s="15"/>
      <c r="CP143" s="15"/>
      <c r="CQ143" s="15"/>
      <c r="CR143" s="15"/>
      <c r="CS143" s="15"/>
      <c r="CT143" s="15"/>
      <c r="CU143" s="15"/>
      <c r="CV143" s="15"/>
      <c r="CW143" s="15"/>
      <c r="CX143" s="15"/>
      <c r="CY143" s="15"/>
      <c r="CZ143" s="10"/>
      <c r="DA143" s="10"/>
      <c r="DB143" s="10"/>
      <c r="DC143" s="10"/>
      <c r="DD143" s="10"/>
      <c r="DE143" s="10"/>
      <c r="DF143" s="10"/>
      <c r="DG143" s="10"/>
      <c r="DH143" s="10"/>
      <c r="DI143" s="10"/>
      <c r="DJ143" s="10"/>
      <c r="DK143" s="15"/>
      <c r="DL143" s="15"/>
      <c r="DM143" s="15"/>
      <c r="DN143" s="15"/>
      <c r="DO143" s="15"/>
      <c r="DP143" s="15"/>
      <c r="DQ143" s="15"/>
      <c r="DR143" s="15"/>
      <c r="DS143" s="15"/>
      <c r="DT143" s="15"/>
      <c r="DU143" s="15"/>
      <c r="DV143" s="15"/>
      <c r="DW143" s="15"/>
      <c r="DX143" s="15"/>
      <c r="DY143" s="15"/>
      <c r="DZ143" s="15"/>
      <c r="EA143" s="15"/>
      <c r="EB143" s="15"/>
      <c r="EC143" s="15"/>
      <c r="ED143" s="15"/>
      <c r="EE143" s="15"/>
      <c r="EF143" s="15"/>
      <c r="EG143" s="15"/>
      <c r="EH143" s="15"/>
      <c r="EI143" s="15"/>
      <c r="EJ143" s="15"/>
      <c r="EK143" s="15"/>
      <c r="EL143" s="15"/>
      <c r="EM143" s="15"/>
      <c r="EN143" s="15"/>
      <c r="EO143" s="15"/>
      <c r="EP143" s="15"/>
      <c r="EQ143" s="15"/>
      <c r="ER143" s="15"/>
      <c r="ES143" s="15"/>
      <c r="ET143" s="15"/>
      <c r="EU143" s="15"/>
      <c r="EV143" s="15"/>
      <c r="EW143" s="15"/>
      <c r="EX143" s="15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</row>
    <row r="144" spans="1:228" ht="15" hidden="1">
      <c r="A144" s="85"/>
      <c r="B144" s="205" t="s">
        <v>195</v>
      </c>
      <c r="C144" s="85">
        <v>7.6552777777777781</v>
      </c>
      <c r="D144" s="85">
        <v>5.2249999999999996</v>
      </c>
      <c r="E144" s="206">
        <v>244.92808355108326</v>
      </c>
      <c r="F144" s="206">
        <v>5.1809457150475549</v>
      </c>
      <c r="G144" s="206">
        <v>4.3466670024588936</v>
      </c>
      <c r="H144" s="206">
        <v>-8.3684065664796563</v>
      </c>
      <c r="I144" s="85">
        <v>244.92833668484542</v>
      </c>
      <c r="J144" s="85">
        <v>5.1804343670645085</v>
      </c>
      <c r="K144" s="85"/>
      <c r="L144" s="206"/>
      <c r="M144" s="85"/>
      <c r="N144" s="201"/>
      <c r="O144" s="202" t="s">
        <v>165</v>
      </c>
      <c r="P144" s="201">
        <v>0</v>
      </c>
      <c r="Q144" s="201"/>
      <c r="R144" s="201"/>
      <c r="S144" s="201"/>
      <c r="T144" s="201"/>
      <c r="U144" s="15"/>
      <c r="V144" s="15"/>
      <c r="W144" s="15"/>
      <c r="X144" s="15"/>
      <c r="Y144" s="15">
        <v>38.383738619707202</v>
      </c>
      <c r="Z144" s="15">
        <v>38.383738619707202</v>
      </c>
      <c r="AA144" s="15">
        <v>-26.469594175591034</v>
      </c>
      <c r="AB144" s="15">
        <v>0</v>
      </c>
      <c r="AC144" s="15">
        <v>0.2468765662440891</v>
      </c>
      <c r="AD144" s="15">
        <v>-0.2468765662440891</v>
      </c>
      <c r="AE144" s="15">
        <v>-0.80189864607729755</v>
      </c>
      <c r="AF144" s="15">
        <v>-1.0487752123213867</v>
      </c>
      <c r="AG144" s="15">
        <v>44.173389896488075</v>
      </c>
      <c r="AH144" s="15">
        <v>224.17338989648806</v>
      </c>
      <c r="AI144" s="15">
        <v>-37.534594175591032</v>
      </c>
      <c r="AJ144" s="21">
        <v>0.19844563695177089</v>
      </c>
      <c r="AK144" s="21">
        <v>37.092869708468498</v>
      </c>
      <c r="AL144" s="24" t="s">
        <v>165</v>
      </c>
      <c r="AM144" s="21">
        <v>224.17338989648806</v>
      </c>
      <c r="AN144" s="21">
        <v>37.092869708468498</v>
      </c>
      <c r="AO144" s="21"/>
      <c r="AP144" s="15">
        <v>38.387916694261762</v>
      </c>
      <c r="AQ144" s="15">
        <v>38.387916694261762</v>
      </c>
      <c r="AR144" s="15">
        <v>-26.469594175591034</v>
      </c>
      <c r="AS144" s="15">
        <v>0</v>
      </c>
      <c r="AT144" s="15">
        <v>0.24683958255926605</v>
      </c>
      <c r="AU144" s="15">
        <v>-0.24683958255926605</v>
      </c>
      <c r="AV144" s="15">
        <v>-0.80182483440902608</v>
      </c>
      <c r="AW144" s="15">
        <v>-1.0486644169682922</v>
      </c>
      <c r="AX144" s="15">
        <v>44.1764152390476</v>
      </c>
      <c r="AY144" s="15">
        <v>224.1764152390476</v>
      </c>
      <c r="AZ144" s="15">
        <v>-37.534594175591032</v>
      </c>
      <c r="BA144" s="21">
        <v>0.19846552716585042</v>
      </c>
      <c r="BB144" s="21">
        <v>37.090012337463023</v>
      </c>
      <c r="BC144" s="24" t="s">
        <v>165</v>
      </c>
      <c r="BD144" s="21">
        <v>224.1764152390476</v>
      </c>
      <c r="BE144" s="21">
        <v>37.090012337463023</v>
      </c>
      <c r="BF144" s="19"/>
      <c r="BG144" s="19"/>
      <c r="BH144" s="15"/>
      <c r="BI144" s="19"/>
      <c r="BJ144" s="15"/>
      <c r="BK144" s="19"/>
      <c r="BL144" s="15"/>
      <c r="BM144" s="19"/>
      <c r="BN144" s="19"/>
      <c r="BO144" s="19"/>
      <c r="BP144" s="19"/>
      <c r="BQ144" s="19"/>
      <c r="BR144" s="19"/>
      <c r="BS144" s="19"/>
      <c r="BT144" s="2"/>
      <c r="BU144" s="19"/>
      <c r="BV144" s="19"/>
      <c r="BW144" s="19"/>
      <c r="BX144" s="19"/>
      <c r="BY144" s="19"/>
      <c r="BZ144" s="2"/>
      <c r="CA144" s="19"/>
      <c r="CB144" s="19"/>
      <c r="CC144" s="19"/>
      <c r="CD144" s="19"/>
      <c r="CE144" s="19"/>
      <c r="CF144" s="15"/>
      <c r="CG144" s="15"/>
      <c r="CH144" s="21"/>
      <c r="CI144" s="15"/>
      <c r="CJ144" s="15"/>
      <c r="CK144" s="15"/>
      <c r="CL144" s="15"/>
      <c r="CM144" s="15"/>
      <c r="CN144" s="15"/>
      <c r="CO144" s="15"/>
      <c r="CP144" s="15"/>
      <c r="CQ144" s="15"/>
      <c r="CR144" s="15"/>
      <c r="CS144" s="15"/>
      <c r="CT144" s="15"/>
      <c r="CU144" s="15"/>
      <c r="CV144" s="15"/>
      <c r="CW144" s="15"/>
      <c r="CX144" s="15"/>
      <c r="CY144" s="15"/>
      <c r="CZ144" s="10"/>
      <c r="DA144" s="10"/>
      <c r="DB144" s="10"/>
      <c r="DC144" s="10"/>
      <c r="DD144" s="10"/>
      <c r="DE144" s="10"/>
      <c r="DF144" s="10"/>
      <c r="DG144" s="10"/>
      <c r="DH144" s="10"/>
      <c r="DI144" s="10"/>
      <c r="DJ144" s="10"/>
      <c r="DK144" s="15"/>
      <c r="DL144" s="15"/>
      <c r="DM144" s="15"/>
      <c r="DN144" s="15"/>
      <c r="DO144" s="15"/>
      <c r="DP144" s="15"/>
      <c r="DQ144" s="15"/>
      <c r="DR144" s="15"/>
      <c r="DS144" s="15"/>
      <c r="DT144" s="15"/>
      <c r="DU144" s="15"/>
      <c r="DV144" s="15"/>
      <c r="DW144" s="15"/>
      <c r="DX144" s="15"/>
      <c r="DY144" s="15"/>
      <c r="DZ144" s="15"/>
      <c r="EA144" s="15"/>
      <c r="EB144" s="15"/>
      <c r="EC144" s="15"/>
      <c r="ED144" s="15"/>
      <c r="EE144" s="15"/>
      <c r="EF144" s="15"/>
      <c r="EG144" s="15"/>
      <c r="EH144" s="15"/>
      <c r="EI144" s="15"/>
      <c r="EJ144" s="15"/>
      <c r="EK144" s="15"/>
      <c r="EL144" s="15"/>
      <c r="EM144" s="15"/>
      <c r="EN144" s="15"/>
      <c r="EO144" s="15"/>
      <c r="EP144" s="15"/>
      <c r="EQ144" s="15"/>
      <c r="ER144" s="15"/>
      <c r="ES144" s="15"/>
      <c r="ET144" s="15"/>
      <c r="EU144" s="15"/>
      <c r="EV144" s="15"/>
      <c r="EW144" s="15"/>
      <c r="EX144" s="15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</row>
    <row r="145" spans="1:228" ht="15" hidden="1">
      <c r="A145" s="85"/>
      <c r="B145" s="205" t="s">
        <v>196</v>
      </c>
      <c r="C145" s="85">
        <v>17.581666666666667</v>
      </c>
      <c r="D145" s="85">
        <v>12.561666666666667</v>
      </c>
      <c r="E145" s="206">
        <v>96.026466865279815</v>
      </c>
      <c r="F145" s="206">
        <v>12.550199655885454</v>
      </c>
      <c r="G145" s="206">
        <v>4.3466670024588936</v>
      </c>
      <c r="H145" s="206">
        <v>-8.3684065664796563</v>
      </c>
      <c r="I145" s="85">
        <v>96.027075794272363</v>
      </c>
      <c r="J145" s="85">
        <v>12.549444990935941</v>
      </c>
      <c r="K145" s="85"/>
      <c r="L145" s="206"/>
      <c r="M145" s="85"/>
      <c r="N145" s="201"/>
      <c r="O145" s="202" t="s">
        <v>166</v>
      </c>
      <c r="P145" s="201">
        <v>0</v>
      </c>
      <c r="Q145" s="201"/>
      <c r="R145" s="201"/>
      <c r="S145" s="201"/>
      <c r="T145" s="201"/>
      <c r="U145" s="15"/>
      <c r="V145" s="15"/>
      <c r="W145" s="15"/>
      <c r="X145" s="15"/>
      <c r="Y145" s="15">
        <v>71.788861292193829</v>
      </c>
      <c r="Z145" s="15">
        <v>71.788861292193829</v>
      </c>
      <c r="AA145" s="15">
        <v>19.098629460033152</v>
      </c>
      <c r="AB145" s="15">
        <v>0</v>
      </c>
      <c r="AC145" s="15">
        <v>6.4338295462362124E-2</v>
      </c>
      <c r="AD145" s="15">
        <v>-6.4338295462362124E-2</v>
      </c>
      <c r="AE145" s="15">
        <v>0.36451219593794815</v>
      </c>
      <c r="AF145" s="15">
        <v>0.30017390047558601</v>
      </c>
      <c r="AG145" s="15">
        <v>73.585359065680819</v>
      </c>
      <c r="AH145" s="15">
        <v>286.41464093431921</v>
      </c>
      <c r="AI145" s="15">
        <v>8.0336294600331524</v>
      </c>
      <c r="AJ145" s="21">
        <v>0.32368814685593872</v>
      </c>
      <c r="AK145" s="21">
        <v>20.647876932530764</v>
      </c>
      <c r="AL145" s="24" t="s">
        <v>166</v>
      </c>
      <c r="AM145" s="21">
        <v>286.41464093431921</v>
      </c>
      <c r="AN145" s="21">
        <v>20.647876932530764</v>
      </c>
      <c r="AO145" s="21"/>
      <c r="AP145" s="15">
        <v>71.793039366748388</v>
      </c>
      <c r="AQ145" s="15">
        <v>71.793039366748388</v>
      </c>
      <c r="AR145" s="15">
        <v>19.098629460033152</v>
      </c>
      <c r="AS145" s="15">
        <v>0</v>
      </c>
      <c r="AT145" s="15">
        <v>6.4322491995358749E-2</v>
      </c>
      <c r="AU145" s="15">
        <v>-6.4322491995358749E-2</v>
      </c>
      <c r="AV145" s="15">
        <v>0.36450345211697244</v>
      </c>
      <c r="AW145" s="15">
        <v>0.30018096012161366</v>
      </c>
      <c r="AX145" s="15">
        <v>73.58499379783234</v>
      </c>
      <c r="AY145" s="15">
        <v>286.41500620216766</v>
      </c>
      <c r="AZ145" s="15">
        <v>8.0336294600331524</v>
      </c>
      <c r="BA145" s="21">
        <v>0.32372026676226739</v>
      </c>
      <c r="BB145" s="21">
        <v>20.643943656840989</v>
      </c>
      <c r="BC145" s="24" t="s">
        <v>166</v>
      </c>
      <c r="BD145" s="21">
        <v>286.41500620216766</v>
      </c>
      <c r="BE145" s="21">
        <v>20.643943656840989</v>
      </c>
      <c r="BF145" s="19"/>
      <c r="BG145" s="19"/>
      <c r="BH145" s="15"/>
      <c r="BI145" s="19"/>
      <c r="BJ145" s="15"/>
      <c r="BK145" s="19"/>
      <c r="BL145" s="15"/>
      <c r="BM145" s="19"/>
      <c r="BN145" s="19"/>
      <c r="BO145" s="19"/>
      <c r="BP145" s="19"/>
      <c r="BQ145" s="19"/>
      <c r="BR145" s="19"/>
      <c r="BS145" s="19"/>
      <c r="BT145" s="2"/>
      <c r="BU145" s="19"/>
      <c r="BV145" s="19"/>
      <c r="BW145" s="19"/>
      <c r="BX145" s="19"/>
      <c r="BY145" s="19"/>
      <c r="BZ145" s="2"/>
      <c r="CA145" s="19"/>
      <c r="CB145" s="19"/>
      <c r="CC145" s="19"/>
      <c r="CD145" s="19"/>
      <c r="CE145" s="19"/>
      <c r="CF145" s="15"/>
      <c r="CG145" s="15"/>
      <c r="CH145" s="21"/>
      <c r="CI145" s="15"/>
      <c r="CJ145" s="15"/>
      <c r="CK145" s="15"/>
      <c r="CL145" s="15"/>
      <c r="CM145" s="15"/>
      <c r="CN145" s="15"/>
      <c r="CO145" s="15"/>
      <c r="CP145" s="15"/>
      <c r="CQ145" s="15"/>
      <c r="CR145" s="15"/>
      <c r="CS145" s="15"/>
      <c r="CT145" s="15"/>
      <c r="CU145" s="15"/>
      <c r="CV145" s="15"/>
      <c r="CW145" s="15"/>
      <c r="CX145" s="15"/>
      <c r="CY145" s="15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5"/>
      <c r="DL145" s="15"/>
      <c r="DM145" s="15"/>
      <c r="DN145" s="15"/>
      <c r="DO145" s="15"/>
      <c r="DP145" s="15"/>
      <c r="DQ145" s="15"/>
      <c r="DR145" s="15"/>
      <c r="DS145" s="15"/>
      <c r="DT145" s="15"/>
      <c r="DU145" s="15"/>
      <c r="DV145" s="15"/>
      <c r="DW145" s="15"/>
      <c r="DX145" s="15"/>
      <c r="DY145" s="15"/>
      <c r="DZ145" s="15"/>
      <c r="EA145" s="15"/>
      <c r="EB145" s="15"/>
      <c r="EC145" s="15"/>
      <c r="ED145" s="15"/>
      <c r="EE145" s="15"/>
      <c r="EF145" s="15"/>
      <c r="EG145" s="15"/>
      <c r="EH145" s="15"/>
      <c r="EI145" s="15"/>
      <c r="EJ145" s="15"/>
      <c r="EK145" s="15"/>
      <c r="EL145" s="15"/>
      <c r="EM145" s="15"/>
      <c r="EN145" s="15"/>
      <c r="EO145" s="15"/>
      <c r="EP145" s="15"/>
      <c r="EQ145" s="15"/>
      <c r="ER145" s="15"/>
      <c r="ES145" s="15"/>
      <c r="ET145" s="15"/>
      <c r="EU145" s="15"/>
      <c r="EV145" s="15"/>
      <c r="EW145" s="15"/>
      <c r="EX145" s="15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</row>
    <row r="146" spans="1:228" ht="15" hidden="1">
      <c r="A146" s="85"/>
      <c r="B146" s="205" t="s">
        <v>197</v>
      </c>
      <c r="C146" s="85">
        <v>10.139444444444443</v>
      </c>
      <c r="D146" s="85">
        <v>11.966666666666667</v>
      </c>
      <c r="E146" s="206">
        <v>207.66294704883398</v>
      </c>
      <c r="F146" s="206">
        <v>11.873955655286188</v>
      </c>
      <c r="G146" s="206">
        <v>4.3466670024588936</v>
      </c>
      <c r="H146" s="206">
        <v>-8.3684065664796563</v>
      </c>
      <c r="I146" s="85">
        <v>207.66302272059045</v>
      </c>
      <c r="J146" s="85">
        <v>11.873121983994004</v>
      </c>
      <c r="K146" s="85"/>
      <c r="L146" s="206"/>
      <c r="M146" s="85"/>
      <c r="N146" s="201"/>
      <c r="O146" s="202" t="s">
        <v>167</v>
      </c>
      <c r="P146" s="201">
        <v>0</v>
      </c>
      <c r="Q146" s="201"/>
      <c r="R146" s="201"/>
      <c r="S146" s="201"/>
      <c r="T146" s="201"/>
      <c r="U146" s="15"/>
      <c r="V146" s="15"/>
      <c r="W146" s="15"/>
      <c r="X146" s="15"/>
      <c r="Y146" s="15">
        <v>33.646148912911926</v>
      </c>
      <c r="Z146" s="15">
        <v>33.646148912911926</v>
      </c>
      <c r="AA146" s="15">
        <v>-69.056318552475147</v>
      </c>
      <c r="AB146" s="15">
        <v>0</v>
      </c>
      <c r="AC146" s="15">
        <v>0.29382458194633043</v>
      </c>
      <c r="AD146" s="15">
        <v>-0.29382458194633043</v>
      </c>
      <c r="AE146" s="15">
        <v>-4.715647775276401</v>
      </c>
      <c r="AF146" s="15">
        <v>-5.0094723572227311</v>
      </c>
      <c r="AG146" s="15">
        <v>11.497291323829636</v>
      </c>
      <c r="AH146" s="15">
        <v>191.49729132382964</v>
      </c>
      <c r="AI146" s="15">
        <v>-80.121318552475145</v>
      </c>
      <c r="AJ146" s="21">
        <v>0.44360299928546326</v>
      </c>
      <c r="AK146" s="21">
        <v>6.4764027227788858</v>
      </c>
      <c r="AL146" s="24" t="s">
        <v>167</v>
      </c>
      <c r="AM146" s="21">
        <v>191.49729132382964</v>
      </c>
      <c r="AN146" s="21">
        <v>6.4764027227788858</v>
      </c>
      <c r="AO146" s="21"/>
      <c r="AP146" s="15">
        <v>33.650326987466485</v>
      </c>
      <c r="AQ146" s="15">
        <v>33.650326987466485</v>
      </c>
      <c r="AR146" s="15">
        <v>-69.056318552475147</v>
      </c>
      <c r="AS146" s="15">
        <v>0</v>
      </c>
      <c r="AT146" s="15">
        <v>0.29377813424606369</v>
      </c>
      <c r="AU146" s="15">
        <v>-0.29377813424606369</v>
      </c>
      <c r="AV146" s="15">
        <v>-4.715131181034919</v>
      </c>
      <c r="AW146" s="15">
        <v>-5.0089093152809827</v>
      </c>
      <c r="AX146" s="15">
        <v>11.498549291663636</v>
      </c>
      <c r="AY146" s="15">
        <v>191.49854929166364</v>
      </c>
      <c r="AZ146" s="15">
        <v>-80.121318552475145</v>
      </c>
      <c r="BA146" s="21">
        <v>0.44361008643945388</v>
      </c>
      <c r="BB146" s="21">
        <v>6.4755853794486313</v>
      </c>
      <c r="BC146" s="24" t="s">
        <v>167</v>
      </c>
      <c r="BD146" s="21">
        <v>191.49854929166364</v>
      </c>
      <c r="BE146" s="21">
        <v>6.4755853794486313</v>
      </c>
      <c r="BF146" s="19"/>
      <c r="BG146" s="19"/>
      <c r="BH146" s="15"/>
      <c r="BI146" s="19"/>
      <c r="BJ146" s="15"/>
      <c r="BK146" s="19"/>
      <c r="BL146" s="15"/>
      <c r="BM146" s="19"/>
      <c r="BN146" s="19"/>
      <c r="BO146" s="19"/>
      <c r="BP146" s="19"/>
      <c r="BQ146" s="19"/>
      <c r="BR146" s="19"/>
      <c r="BS146" s="19"/>
      <c r="BT146" s="2"/>
      <c r="BU146" s="19"/>
      <c r="BV146" s="19"/>
      <c r="BW146" s="19"/>
      <c r="BX146" s="19"/>
      <c r="BY146" s="19"/>
      <c r="BZ146" s="2"/>
      <c r="CA146" s="19"/>
      <c r="CB146" s="19"/>
      <c r="CC146" s="19"/>
      <c r="CD146" s="19"/>
      <c r="CE146" s="19"/>
      <c r="CF146" s="15"/>
      <c r="CG146" s="15"/>
      <c r="CH146" s="21"/>
      <c r="CI146" s="15"/>
      <c r="CJ146" s="15"/>
      <c r="CK146" s="15"/>
      <c r="CL146" s="15"/>
      <c r="CM146" s="15"/>
      <c r="CN146" s="15"/>
      <c r="CO146" s="15"/>
      <c r="CP146" s="15"/>
      <c r="CQ146" s="15"/>
      <c r="CR146" s="15"/>
      <c r="CS146" s="15"/>
      <c r="CT146" s="15"/>
      <c r="CU146" s="15"/>
      <c r="CV146" s="15"/>
      <c r="CW146" s="15"/>
      <c r="CX146" s="15"/>
      <c r="CY146" s="15"/>
      <c r="CZ146" s="10"/>
      <c r="DA146" s="10"/>
      <c r="DB146" s="10"/>
      <c r="DC146" s="10"/>
      <c r="DD146" s="10"/>
      <c r="DE146" s="10"/>
      <c r="DF146" s="10"/>
      <c r="DG146" s="10"/>
      <c r="DH146" s="10"/>
      <c r="DI146" s="10"/>
      <c r="DJ146" s="10"/>
      <c r="DK146" s="15"/>
      <c r="DL146" s="15"/>
      <c r="DM146" s="15"/>
      <c r="DN146" s="15"/>
      <c r="DO146" s="15"/>
      <c r="DP146" s="15"/>
      <c r="DQ146" s="15"/>
      <c r="DR146" s="15"/>
      <c r="DS146" s="15"/>
      <c r="DT146" s="15"/>
      <c r="DU146" s="15"/>
      <c r="DV146" s="15"/>
      <c r="DW146" s="15"/>
      <c r="DX146" s="15"/>
      <c r="DY146" s="15"/>
      <c r="DZ146" s="15"/>
      <c r="EA146" s="15"/>
      <c r="EB146" s="15"/>
      <c r="EC146" s="15"/>
      <c r="ED146" s="15"/>
      <c r="EE146" s="15"/>
      <c r="EF146" s="15"/>
      <c r="EG146" s="15"/>
      <c r="EH146" s="15"/>
      <c r="EI146" s="15"/>
      <c r="EJ146" s="15"/>
      <c r="EK146" s="15"/>
      <c r="EL146" s="15"/>
      <c r="EM146" s="15"/>
      <c r="EN146" s="15"/>
      <c r="EO146" s="15"/>
      <c r="EP146" s="15"/>
      <c r="EQ146" s="15"/>
      <c r="ER146" s="15"/>
      <c r="ES146" s="15"/>
      <c r="ET146" s="15"/>
      <c r="EU146" s="15"/>
      <c r="EV146" s="15"/>
      <c r="EW146" s="15"/>
      <c r="EX146" s="15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</row>
    <row r="147" spans="1:228" ht="15" hidden="1">
      <c r="A147" s="85"/>
      <c r="B147" s="205" t="s">
        <v>198</v>
      </c>
      <c r="C147" s="85">
        <v>5.2424999999999997</v>
      </c>
      <c r="D147" s="85">
        <v>-8.2050000000000001</v>
      </c>
      <c r="E147" s="206">
        <v>281.12241047067999</v>
      </c>
      <c r="F147" s="206">
        <v>-8.1843305688622987</v>
      </c>
      <c r="G147" s="206">
        <v>4.3466670024588936</v>
      </c>
      <c r="H147" s="206">
        <v>-8.3684065664796563</v>
      </c>
      <c r="I147" s="85">
        <v>281.12250486236439</v>
      </c>
      <c r="J147" s="85">
        <v>-8.184448338648755</v>
      </c>
      <c r="K147" s="85"/>
      <c r="L147" s="206"/>
      <c r="M147" s="85"/>
      <c r="N147" s="201"/>
      <c r="O147" s="202" t="s">
        <v>168</v>
      </c>
      <c r="P147" s="201">
        <v>0</v>
      </c>
      <c r="Q147" s="201"/>
      <c r="R147" s="201"/>
      <c r="S147" s="201"/>
      <c r="T147" s="201"/>
      <c r="U147" s="15"/>
      <c r="V147" s="15"/>
      <c r="W147" s="15"/>
      <c r="X147" s="15"/>
      <c r="Y147" s="15">
        <v>160.10157975571752</v>
      </c>
      <c r="Z147" s="15">
        <v>160.10157975571752</v>
      </c>
      <c r="AA147" s="15">
        <v>-59.570079649349687</v>
      </c>
      <c r="AB147" s="15">
        <v>1</v>
      </c>
      <c r="AC147" s="15">
        <v>0.54026927062335317</v>
      </c>
      <c r="AD147" s="15">
        <v>0.54026927062335317</v>
      </c>
      <c r="AE147" s="15">
        <v>-5.0019189065233647</v>
      </c>
      <c r="AF147" s="15">
        <v>-4.4616496359000113</v>
      </c>
      <c r="AG147" s="15">
        <v>12.864461716131085</v>
      </c>
      <c r="AH147" s="15">
        <v>192.86446171613107</v>
      </c>
      <c r="AI147" s="15">
        <v>-70.635079649349692</v>
      </c>
      <c r="AJ147" s="21">
        <v>0.81643870636913096</v>
      </c>
      <c r="AK147" s="21">
        <v>-39.262733323816065</v>
      </c>
      <c r="AL147" s="24" t="s">
        <v>168</v>
      </c>
      <c r="AM147" s="21">
        <v>192.86446171613107</v>
      </c>
      <c r="AN147" s="21">
        <v>-39.262733323816065</v>
      </c>
      <c r="AO147" s="21"/>
      <c r="AP147" s="15">
        <v>160.10575783027207</v>
      </c>
      <c r="AQ147" s="15">
        <v>160.10575783027207</v>
      </c>
      <c r="AR147" s="15">
        <v>-59.570079649349687</v>
      </c>
      <c r="AS147" s="15">
        <v>1</v>
      </c>
      <c r="AT147" s="15">
        <v>0.54039239829166708</v>
      </c>
      <c r="AU147" s="15">
        <v>0.54039239829166708</v>
      </c>
      <c r="AV147" s="15">
        <v>-5.0029268086007379</v>
      </c>
      <c r="AW147" s="15">
        <v>-4.4625344103090709</v>
      </c>
      <c r="AX147" s="15">
        <v>12.86199595176141</v>
      </c>
      <c r="AY147" s="15">
        <v>192.8619959517614</v>
      </c>
      <c r="AZ147" s="15">
        <v>-70.635079649349692</v>
      </c>
      <c r="BA147" s="21">
        <v>0.8164448741157988</v>
      </c>
      <c r="BB147" s="21">
        <v>-39.263646174278477</v>
      </c>
      <c r="BC147" s="24" t="s">
        <v>168</v>
      </c>
      <c r="BD147" s="21">
        <v>192.8619959517614</v>
      </c>
      <c r="BE147" s="21">
        <v>-39.263646174278477</v>
      </c>
      <c r="BF147" s="19"/>
      <c r="BG147" s="19"/>
      <c r="BH147" s="15"/>
      <c r="BI147" s="19"/>
      <c r="BJ147" s="15"/>
      <c r="BK147" s="19"/>
      <c r="BL147" s="15"/>
      <c r="BM147" s="19"/>
      <c r="BN147" s="19"/>
      <c r="BO147" s="19"/>
      <c r="BP147" s="19"/>
      <c r="BQ147" s="19"/>
      <c r="BR147" s="19"/>
      <c r="BS147" s="19"/>
      <c r="BT147" s="2"/>
      <c r="BU147" s="19"/>
      <c r="BV147" s="19"/>
      <c r="BW147" s="19"/>
      <c r="BX147" s="19"/>
      <c r="BY147" s="19"/>
      <c r="BZ147" s="2"/>
      <c r="CA147" s="19"/>
      <c r="CB147" s="19"/>
      <c r="CC147" s="19"/>
      <c r="CD147" s="19"/>
      <c r="CE147" s="19"/>
      <c r="CF147" s="15"/>
      <c r="CG147" s="15"/>
      <c r="CH147" s="21"/>
      <c r="CI147" s="15"/>
      <c r="CJ147" s="15"/>
      <c r="CK147" s="15"/>
      <c r="CL147" s="15"/>
      <c r="CM147" s="15"/>
      <c r="CN147" s="15"/>
      <c r="CO147" s="15"/>
      <c r="CP147" s="15"/>
      <c r="CQ147" s="15"/>
      <c r="CR147" s="15"/>
      <c r="CS147" s="15"/>
      <c r="CT147" s="15"/>
      <c r="CU147" s="15"/>
      <c r="CV147" s="15"/>
      <c r="CW147" s="15"/>
      <c r="CX147" s="15"/>
      <c r="CY147" s="15"/>
      <c r="CZ147" s="10"/>
      <c r="DA147" s="10"/>
      <c r="DB147" s="10"/>
      <c r="DC147" s="10"/>
      <c r="DD147" s="10"/>
      <c r="DE147" s="10"/>
      <c r="DF147" s="10"/>
      <c r="DG147" s="10"/>
      <c r="DH147" s="10"/>
      <c r="DI147" s="10"/>
      <c r="DJ147" s="10"/>
      <c r="DK147" s="15"/>
      <c r="DL147" s="15"/>
      <c r="DM147" s="15"/>
      <c r="DN147" s="15"/>
      <c r="DO147" s="15"/>
      <c r="DP147" s="15"/>
      <c r="DQ147" s="15"/>
      <c r="DR147" s="15"/>
      <c r="DS147" s="15"/>
      <c r="DT147" s="15"/>
      <c r="DU147" s="15"/>
      <c r="DV147" s="15"/>
      <c r="DW147" s="15"/>
      <c r="DX147" s="15"/>
      <c r="DY147" s="15"/>
      <c r="DZ147" s="15"/>
      <c r="EA147" s="15"/>
      <c r="EB147" s="15"/>
      <c r="EC147" s="15"/>
      <c r="ED147" s="15"/>
      <c r="EE147" s="15"/>
      <c r="EF147" s="15"/>
      <c r="EG147" s="15"/>
      <c r="EH147" s="15"/>
      <c r="EI147" s="15"/>
      <c r="EJ147" s="15"/>
      <c r="EK147" s="15"/>
      <c r="EL147" s="15"/>
      <c r="EM147" s="15"/>
      <c r="EN147" s="15"/>
      <c r="EO147" s="15"/>
      <c r="EP147" s="15"/>
      <c r="EQ147" s="15"/>
      <c r="ER147" s="15"/>
      <c r="ES147" s="15"/>
      <c r="ET147" s="15"/>
      <c r="EU147" s="15"/>
      <c r="EV147" s="15"/>
      <c r="EW147" s="15"/>
      <c r="EX147" s="15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</row>
    <row r="148" spans="1:228" ht="15" hidden="1">
      <c r="A148" s="85"/>
      <c r="B148" s="205" t="s">
        <v>199</v>
      </c>
      <c r="C148" s="85">
        <v>14.660277777777779</v>
      </c>
      <c r="D148" s="85">
        <v>-60.83</v>
      </c>
      <c r="E148" s="206">
        <v>139.90192934757323</v>
      </c>
      <c r="F148" s="206">
        <v>-60.91048039868118</v>
      </c>
      <c r="G148" s="206">
        <v>4.3466670024588936</v>
      </c>
      <c r="H148" s="206">
        <v>-8.3684065664796563</v>
      </c>
      <c r="I148" s="85">
        <v>139.90511053461339</v>
      </c>
      <c r="J148" s="85">
        <v>-60.911437166774604</v>
      </c>
      <c r="K148" s="85"/>
      <c r="L148" s="206"/>
      <c r="M148" s="85"/>
      <c r="N148" s="201"/>
      <c r="O148" s="202" t="s">
        <v>169</v>
      </c>
      <c r="P148" s="201">
        <v>0</v>
      </c>
      <c r="Q148" s="201"/>
      <c r="R148" s="201"/>
      <c r="S148" s="201"/>
      <c r="T148" s="201"/>
      <c r="U148" s="15"/>
      <c r="V148" s="15"/>
      <c r="W148" s="15"/>
      <c r="X148" s="15"/>
      <c r="Y148" s="15">
        <v>204.42624199666187</v>
      </c>
      <c r="Z148" s="15">
        <v>155.57375800333813</v>
      </c>
      <c r="AA148" s="15">
        <v>6.3640859322886962</v>
      </c>
      <c r="AB148" s="15">
        <v>1</v>
      </c>
      <c r="AC148" s="15">
        <v>0.43058067814848178</v>
      </c>
      <c r="AD148" s="15">
        <v>0.43058067814848178</v>
      </c>
      <c r="AE148" s="15">
        <v>0.26971587862224095</v>
      </c>
      <c r="AF148" s="15">
        <v>0.70029655677072267</v>
      </c>
      <c r="AG148" s="15">
        <v>55.500111088389765</v>
      </c>
      <c r="AH148" s="15">
        <v>55.500111088389765</v>
      </c>
      <c r="AI148" s="15">
        <v>-4.7009140677113033</v>
      </c>
      <c r="AJ148" s="21">
        <v>0.9333939885615723</v>
      </c>
      <c r="AK148" s="21">
        <v>-60.087500226520888</v>
      </c>
      <c r="AL148" s="24" t="s">
        <v>169</v>
      </c>
      <c r="AM148" s="21">
        <v>55.500111088389765</v>
      </c>
      <c r="AN148" s="21">
        <v>-60.087500226520888</v>
      </c>
      <c r="AO148" s="21"/>
      <c r="AP148" s="15">
        <v>204.43042007121645</v>
      </c>
      <c r="AQ148" s="15">
        <v>155.56957992878355</v>
      </c>
      <c r="AR148" s="15">
        <v>6.3640859322886962</v>
      </c>
      <c r="AS148" s="15">
        <v>1</v>
      </c>
      <c r="AT148" s="15">
        <v>0.43049729793063302</v>
      </c>
      <c r="AU148" s="15">
        <v>0.43049729793063302</v>
      </c>
      <c r="AV148" s="15">
        <v>0.2696725811711097</v>
      </c>
      <c r="AW148" s="15">
        <v>0.70016987910174278</v>
      </c>
      <c r="AX148" s="15">
        <v>55.504949323883061</v>
      </c>
      <c r="AY148" s="15">
        <v>55.504949323883061</v>
      </c>
      <c r="AZ148" s="15">
        <v>-4.7009140677113033</v>
      </c>
      <c r="BA148" s="21">
        <v>0.93337928161752137</v>
      </c>
      <c r="BB148" s="21">
        <v>-60.084120873220826</v>
      </c>
      <c r="BC148" s="24" t="s">
        <v>169</v>
      </c>
      <c r="BD148" s="21">
        <v>55.504949323883061</v>
      </c>
      <c r="BE148" s="21">
        <v>-60.084120873220826</v>
      </c>
      <c r="BF148" s="19"/>
      <c r="BG148" s="19"/>
      <c r="BH148" s="15"/>
      <c r="BI148" s="19"/>
      <c r="BJ148" s="15"/>
      <c r="BK148" s="19"/>
      <c r="BL148" s="15"/>
      <c r="BM148" s="19"/>
      <c r="BN148" s="19"/>
      <c r="BO148" s="19"/>
      <c r="BP148" s="19"/>
      <c r="BQ148" s="19"/>
      <c r="BR148" s="19"/>
      <c r="BS148" s="19"/>
      <c r="BT148" s="2"/>
      <c r="BU148" s="19"/>
      <c r="BV148" s="19"/>
      <c r="BW148" s="19"/>
      <c r="BX148" s="19"/>
      <c r="BY148" s="19"/>
      <c r="BZ148" s="2"/>
      <c r="CA148" s="19"/>
      <c r="CB148" s="19"/>
      <c r="CC148" s="19"/>
      <c r="CD148" s="19"/>
      <c r="CE148" s="19"/>
      <c r="CF148" s="15"/>
      <c r="CG148" s="15"/>
      <c r="CH148" s="21"/>
      <c r="CI148" s="15"/>
      <c r="CJ148" s="15"/>
      <c r="CK148" s="15"/>
      <c r="CL148" s="15"/>
      <c r="CM148" s="15"/>
      <c r="CN148" s="15"/>
      <c r="CO148" s="15"/>
      <c r="CP148" s="15"/>
      <c r="CQ148" s="15"/>
      <c r="CR148" s="15"/>
      <c r="CS148" s="15"/>
      <c r="CT148" s="15"/>
      <c r="CU148" s="15"/>
      <c r="CV148" s="15"/>
      <c r="CW148" s="15"/>
      <c r="CX148" s="15"/>
      <c r="CY148" s="15"/>
      <c r="CZ148" s="10"/>
      <c r="DA148" s="10"/>
      <c r="DB148" s="10"/>
      <c r="DC148" s="10"/>
      <c r="DD148" s="10"/>
      <c r="DE148" s="10"/>
      <c r="DF148" s="10"/>
      <c r="DG148" s="10"/>
      <c r="DH148" s="10"/>
      <c r="DI148" s="10"/>
      <c r="DJ148" s="10"/>
      <c r="DK148" s="15"/>
      <c r="DL148" s="15"/>
      <c r="DM148" s="15"/>
      <c r="DN148" s="15"/>
      <c r="DO148" s="15"/>
      <c r="DP148" s="15"/>
      <c r="DQ148" s="15"/>
      <c r="DR148" s="15"/>
      <c r="DS148" s="15"/>
      <c r="DT148" s="15"/>
      <c r="DU148" s="15"/>
      <c r="DV148" s="15"/>
      <c r="DW148" s="15"/>
      <c r="DX148" s="15"/>
      <c r="DY148" s="15"/>
      <c r="DZ148" s="15"/>
      <c r="EA148" s="15"/>
      <c r="EB148" s="15"/>
      <c r="EC148" s="15"/>
      <c r="ED148" s="15"/>
      <c r="EE148" s="15"/>
      <c r="EF148" s="15"/>
      <c r="EG148" s="15"/>
      <c r="EH148" s="15"/>
      <c r="EI148" s="15"/>
      <c r="EJ148" s="15"/>
      <c r="EK148" s="15"/>
      <c r="EL148" s="15"/>
      <c r="EM148" s="15"/>
      <c r="EN148" s="15"/>
      <c r="EO148" s="15"/>
      <c r="EP148" s="15"/>
      <c r="EQ148" s="15"/>
      <c r="ER148" s="15"/>
      <c r="ES148" s="15"/>
      <c r="ET148" s="15"/>
      <c r="EU148" s="15"/>
      <c r="EV148" s="15"/>
      <c r="EW148" s="15"/>
      <c r="EX148" s="15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</row>
    <row r="149" spans="1:228" ht="15" hidden="1">
      <c r="A149" s="85"/>
      <c r="B149" s="205" t="s">
        <v>200</v>
      </c>
      <c r="C149" s="85">
        <v>17.172222222222224</v>
      </c>
      <c r="D149" s="85">
        <v>-15.723333333333333</v>
      </c>
      <c r="E149" s="206">
        <v>102.18391518693647</v>
      </c>
      <c r="F149" s="206">
        <v>-15.745891580380464</v>
      </c>
      <c r="G149" s="206">
        <v>4.3466670024588936</v>
      </c>
      <c r="H149" s="206">
        <v>-8.3684065664796563</v>
      </c>
      <c r="I149" s="85">
        <v>102.18385264367591</v>
      </c>
      <c r="J149" s="85">
        <v>-15.746681169321821</v>
      </c>
      <c r="K149" s="85"/>
      <c r="L149" s="206"/>
      <c r="M149" s="85"/>
      <c r="N149" s="201"/>
      <c r="O149" s="202" t="s">
        <v>170</v>
      </c>
      <c r="P149" s="201">
        <v>0</v>
      </c>
      <c r="Q149" s="201"/>
      <c r="R149" s="201"/>
      <c r="S149" s="201"/>
      <c r="T149" s="201"/>
      <c r="U149" s="15"/>
      <c r="V149" s="15"/>
      <c r="W149" s="15"/>
      <c r="X149" s="15"/>
      <c r="Y149" s="15">
        <v>196.91342576322882</v>
      </c>
      <c r="Z149" s="15">
        <v>163.08657423677118</v>
      </c>
      <c r="AA149" s="15">
        <v>7.4069751022131349</v>
      </c>
      <c r="AB149" s="15">
        <v>1</v>
      </c>
      <c r="AC149" s="15">
        <v>0.64311500509310682</v>
      </c>
      <c r="AD149" s="15">
        <v>0.64311500509310682</v>
      </c>
      <c r="AE149" s="15">
        <v>0.44685226998492883</v>
      </c>
      <c r="AF149" s="15">
        <v>1.0899672750780356</v>
      </c>
      <c r="AG149" s="15">
        <v>43.071084265788002</v>
      </c>
      <c r="AH149" s="15">
        <v>43.071084265788002</v>
      </c>
      <c r="AI149" s="15">
        <v>-3.6580248977868646</v>
      </c>
      <c r="AJ149" s="21">
        <v>0.95319125539428806</v>
      </c>
      <c r="AK149" s="21">
        <v>-65.010132471832719</v>
      </c>
      <c r="AL149" s="24" t="s">
        <v>170</v>
      </c>
      <c r="AM149" s="21">
        <v>43.071084265788002</v>
      </c>
      <c r="AN149" s="21">
        <v>-65.010132471832719</v>
      </c>
      <c r="AO149" s="21"/>
      <c r="AP149" s="15">
        <v>196.91760383778339</v>
      </c>
      <c r="AQ149" s="15">
        <v>163.08239616221661</v>
      </c>
      <c r="AR149" s="15">
        <v>7.4069751022131349</v>
      </c>
      <c r="AS149" s="15">
        <v>1</v>
      </c>
      <c r="AT149" s="15">
        <v>0.64294655993090566</v>
      </c>
      <c r="AU149" s="15">
        <v>0.64294655993090566</v>
      </c>
      <c r="AV149" s="15">
        <v>0.4467451373331936</v>
      </c>
      <c r="AW149" s="15">
        <v>1.0896916972640993</v>
      </c>
      <c r="AX149" s="15">
        <v>43.078311911010154</v>
      </c>
      <c r="AY149" s="15">
        <v>43.078311911010154</v>
      </c>
      <c r="AZ149" s="15">
        <v>-3.6580248977868646</v>
      </c>
      <c r="BA149" s="21">
        <v>0.95318093086937328</v>
      </c>
      <c r="BB149" s="21">
        <v>-65.007332095377478</v>
      </c>
      <c r="BC149" s="24" t="s">
        <v>170</v>
      </c>
      <c r="BD149" s="21">
        <v>43.078311911010154</v>
      </c>
      <c r="BE149" s="21">
        <v>-65.007332095377478</v>
      </c>
      <c r="BF149" s="19"/>
      <c r="BG149" s="19"/>
      <c r="BH149" s="15"/>
      <c r="BI149" s="19"/>
      <c r="BJ149" s="15"/>
      <c r="BK149" s="19"/>
      <c r="BL149" s="15"/>
      <c r="BM149" s="19"/>
      <c r="BN149" s="19"/>
      <c r="BO149" s="19"/>
      <c r="BP149" s="19"/>
      <c r="BQ149" s="19"/>
      <c r="BR149" s="19"/>
      <c r="BS149" s="19"/>
      <c r="BT149" s="2"/>
      <c r="BU149" s="19"/>
      <c r="BV149" s="19"/>
      <c r="BW149" s="19"/>
      <c r="BX149" s="19"/>
      <c r="BY149" s="19"/>
      <c r="BZ149" s="2"/>
      <c r="CA149" s="19"/>
      <c r="CB149" s="19"/>
      <c r="CC149" s="19"/>
      <c r="CD149" s="19"/>
      <c r="CE149" s="19"/>
      <c r="CF149" s="15"/>
      <c r="CG149" s="15"/>
      <c r="CH149" s="21"/>
      <c r="CI149" s="15"/>
      <c r="CJ149" s="15"/>
      <c r="CK149" s="15"/>
      <c r="CL149" s="15"/>
      <c r="CM149" s="15"/>
      <c r="CN149" s="15"/>
      <c r="CO149" s="15"/>
      <c r="CP149" s="15"/>
      <c r="CQ149" s="15"/>
      <c r="CR149" s="15"/>
      <c r="CS149" s="15"/>
      <c r="CT149" s="15"/>
      <c r="CU149" s="15"/>
      <c r="CV149" s="15"/>
      <c r="CW149" s="15"/>
      <c r="CX149" s="15"/>
      <c r="CY149" s="15"/>
      <c r="CZ149" s="10"/>
      <c r="DA149" s="10"/>
      <c r="DB149" s="10"/>
      <c r="DC149" s="10"/>
      <c r="DD149" s="10"/>
      <c r="DE149" s="10"/>
      <c r="DF149" s="10"/>
      <c r="DG149" s="10"/>
      <c r="DH149" s="10"/>
      <c r="DI149" s="10"/>
      <c r="DJ149" s="10"/>
      <c r="DK149" s="15"/>
      <c r="DL149" s="15"/>
      <c r="DM149" s="15"/>
      <c r="DN149" s="15"/>
      <c r="DO149" s="15"/>
      <c r="DP149" s="15"/>
      <c r="DQ149" s="15"/>
      <c r="DR149" s="15"/>
      <c r="DS149" s="15"/>
      <c r="DT149" s="15"/>
      <c r="DU149" s="15"/>
      <c r="DV149" s="15"/>
      <c r="DW149" s="15"/>
      <c r="DX149" s="15"/>
      <c r="DY149" s="15"/>
      <c r="DZ149" s="15"/>
      <c r="EA149" s="15"/>
      <c r="EB149" s="15"/>
      <c r="EC149" s="15"/>
      <c r="ED149" s="15"/>
      <c r="EE149" s="15"/>
      <c r="EF149" s="15"/>
      <c r="EG149" s="15"/>
      <c r="EH149" s="15"/>
      <c r="EI149" s="15"/>
      <c r="EJ149" s="15"/>
      <c r="EK149" s="15"/>
      <c r="EL149" s="15"/>
      <c r="EM149" s="15"/>
      <c r="EN149" s="15"/>
      <c r="EO149" s="15"/>
      <c r="EP149" s="15"/>
      <c r="EQ149" s="15"/>
      <c r="ER149" s="15"/>
      <c r="ES149" s="15"/>
      <c r="ET149" s="15"/>
      <c r="EU149" s="15"/>
      <c r="EV149" s="15"/>
      <c r="EW149" s="15"/>
      <c r="EX149" s="15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</row>
    <row r="150" spans="1:228" ht="15" hidden="1">
      <c r="A150" s="85"/>
      <c r="B150" s="205" t="s">
        <v>201</v>
      </c>
      <c r="C150" s="85">
        <v>0.67499999999999993</v>
      </c>
      <c r="D150" s="85">
        <v>56.54</v>
      </c>
      <c r="E150" s="206">
        <v>349.63165811048691</v>
      </c>
      <c r="F150" s="206">
        <v>56.643278753464443</v>
      </c>
      <c r="G150" s="206">
        <v>4.3466670024588936</v>
      </c>
      <c r="H150" s="206">
        <v>-8.3684065664796563</v>
      </c>
      <c r="I150" s="85">
        <v>349.63550245543013</v>
      </c>
      <c r="J150" s="85">
        <v>56.643724195231492</v>
      </c>
      <c r="K150" s="85"/>
      <c r="L150" s="206"/>
      <c r="M150" s="85"/>
      <c r="N150" s="201"/>
      <c r="O150" s="202" t="s">
        <v>171</v>
      </c>
      <c r="P150" s="201">
        <v>0</v>
      </c>
      <c r="Q150" s="201"/>
      <c r="R150" s="201"/>
      <c r="S150" s="201"/>
      <c r="T150" s="201"/>
      <c r="U150" s="15"/>
      <c r="V150" s="15"/>
      <c r="W150" s="15"/>
      <c r="X150" s="15"/>
      <c r="Y150" s="15">
        <v>189.73000937544185</v>
      </c>
      <c r="Z150" s="15">
        <v>170.26999062455815</v>
      </c>
      <c r="AA150" s="15">
        <v>-52.709601374494717</v>
      </c>
      <c r="AB150" s="15">
        <v>1</v>
      </c>
      <c r="AC150" s="15">
        <v>1.1404638589639338</v>
      </c>
      <c r="AD150" s="15">
        <v>1.1404638589639338</v>
      </c>
      <c r="AE150" s="15">
        <v>-7.7698243751472811</v>
      </c>
      <c r="AF150" s="15">
        <v>-6.6293605161833469</v>
      </c>
      <c r="AG150" s="15">
        <v>8.7380605104529394</v>
      </c>
      <c r="AH150" s="15">
        <v>171.26193948954705</v>
      </c>
      <c r="AI150" s="15">
        <v>-63.774601374494715</v>
      </c>
      <c r="AJ150" s="21">
        <v>0.86936393867961437</v>
      </c>
      <c r="AK150" s="21">
        <v>-47.623162697771789</v>
      </c>
      <c r="AL150" s="24" t="s">
        <v>171</v>
      </c>
      <c r="AM150" s="21">
        <v>171.26193948954705</v>
      </c>
      <c r="AN150" s="21">
        <v>-47.623162697771789</v>
      </c>
      <c r="AO150" s="21"/>
      <c r="AP150" s="15">
        <v>189.73418744999643</v>
      </c>
      <c r="AQ150" s="15">
        <v>170.26581255000357</v>
      </c>
      <c r="AR150" s="15">
        <v>-52.709601374494717</v>
      </c>
      <c r="AS150" s="15">
        <v>1</v>
      </c>
      <c r="AT150" s="15">
        <v>1.1399648114305834</v>
      </c>
      <c r="AU150" s="15">
        <v>1.1399648114305834</v>
      </c>
      <c r="AV150" s="15">
        <v>-7.7665215654015585</v>
      </c>
      <c r="AW150" s="15">
        <v>-6.6265567539709753</v>
      </c>
      <c r="AX150" s="15">
        <v>8.7417005741315243</v>
      </c>
      <c r="AY150" s="15">
        <v>171.25829942586847</v>
      </c>
      <c r="AZ150" s="15">
        <v>-63.774601374494715</v>
      </c>
      <c r="BA150" s="21">
        <v>0.86936027399719817</v>
      </c>
      <c r="BB150" s="21">
        <v>-47.622539646138392</v>
      </c>
      <c r="BC150" s="24" t="s">
        <v>171</v>
      </c>
      <c r="BD150" s="21">
        <v>171.25829942586847</v>
      </c>
      <c r="BE150" s="21">
        <v>-47.622539646138392</v>
      </c>
      <c r="BF150" s="19"/>
      <c r="BG150" s="19"/>
      <c r="BH150" s="15"/>
      <c r="BI150" s="19"/>
      <c r="BJ150" s="15"/>
      <c r="BK150" s="19"/>
      <c r="BL150" s="15"/>
      <c r="BM150" s="19"/>
      <c r="BN150" s="19"/>
      <c r="BO150" s="19"/>
      <c r="BP150" s="19"/>
      <c r="BQ150" s="19"/>
      <c r="BR150" s="19"/>
      <c r="BS150" s="19"/>
      <c r="BT150" s="2"/>
      <c r="BU150" s="19"/>
      <c r="BV150" s="19"/>
      <c r="BW150" s="19"/>
      <c r="BX150" s="19"/>
      <c r="BY150" s="19"/>
      <c r="BZ150" s="2"/>
      <c r="CA150" s="19"/>
      <c r="CB150" s="19"/>
      <c r="CC150" s="19"/>
      <c r="CD150" s="19"/>
      <c r="CE150" s="19"/>
      <c r="CF150" s="15"/>
      <c r="CG150" s="15"/>
      <c r="CH150" s="21"/>
      <c r="CI150" s="15"/>
      <c r="CJ150" s="15"/>
      <c r="CK150" s="15"/>
      <c r="CL150" s="15"/>
      <c r="CM150" s="15"/>
      <c r="CN150" s="15"/>
      <c r="CO150" s="15"/>
      <c r="CP150" s="15"/>
      <c r="CQ150" s="15"/>
      <c r="CR150" s="15"/>
      <c r="CS150" s="15"/>
      <c r="CT150" s="15"/>
      <c r="CU150" s="15"/>
      <c r="CV150" s="15"/>
      <c r="CW150" s="15"/>
      <c r="CX150" s="15"/>
      <c r="CY150" s="15"/>
      <c r="CZ150" s="10"/>
      <c r="DA150" s="10"/>
      <c r="DB150" s="10"/>
      <c r="DC150" s="10"/>
      <c r="DD150" s="10"/>
      <c r="DE150" s="10"/>
      <c r="DF150" s="10"/>
      <c r="DG150" s="10"/>
      <c r="DH150" s="10"/>
      <c r="DI150" s="10"/>
      <c r="DJ150" s="10"/>
      <c r="DK150" s="15"/>
      <c r="DL150" s="15"/>
      <c r="DM150" s="15"/>
      <c r="DN150" s="15"/>
      <c r="DO150" s="15"/>
      <c r="DP150" s="15"/>
      <c r="DQ150" s="15"/>
      <c r="DR150" s="15"/>
      <c r="DS150" s="15"/>
      <c r="DT150" s="15"/>
      <c r="DU150" s="15"/>
      <c r="DV150" s="15"/>
      <c r="DW150" s="15"/>
      <c r="DX150" s="15"/>
      <c r="DY150" s="15"/>
      <c r="DZ150" s="15"/>
      <c r="EA150" s="15"/>
      <c r="EB150" s="15"/>
      <c r="EC150" s="15"/>
      <c r="ED150" s="15"/>
      <c r="EE150" s="15"/>
      <c r="EF150" s="15"/>
      <c r="EG150" s="15"/>
      <c r="EH150" s="15"/>
      <c r="EI150" s="15"/>
      <c r="EJ150" s="15"/>
      <c r="EK150" s="15"/>
      <c r="EL150" s="15"/>
      <c r="EM150" s="15"/>
      <c r="EN150" s="15"/>
      <c r="EO150" s="15"/>
      <c r="EP150" s="15"/>
      <c r="EQ150" s="15"/>
      <c r="ER150" s="15"/>
      <c r="ES150" s="15"/>
      <c r="ET150" s="15"/>
      <c r="EU150" s="15"/>
      <c r="EV150" s="15"/>
      <c r="EW150" s="15"/>
      <c r="EX150" s="15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</row>
    <row r="151" spans="1:228" ht="15" hidden="1">
      <c r="A151" s="85"/>
      <c r="B151" s="205" t="s">
        <v>202</v>
      </c>
      <c r="C151" s="85">
        <v>17.559444444444445</v>
      </c>
      <c r="D151" s="85">
        <v>-37.101666666666667</v>
      </c>
      <c r="E151" s="206">
        <v>96.390800966531572</v>
      </c>
      <c r="F151" s="206">
        <v>-37.113740179943868</v>
      </c>
      <c r="G151" s="206">
        <v>4.3466670024588936</v>
      </c>
      <c r="H151" s="206">
        <v>-8.3684065664796563</v>
      </c>
      <c r="I151" s="85">
        <v>96.391416223508159</v>
      </c>
      <c r="J151" s="85">
        <v>-37.114496762039664</v>
      </c>
      <c r="K151" s="85"/>
      <c r="L151" s="206"/>
      <c r="M151" s="85"/>
      <c r="N151" s="201"/>
      <c r="O151" s="202" t="s">
        <v>172</v>
      </c>
      <c r="P151" s="201">
        <v>0</v>
      </c>
      <c r="Q151" s="201"/>
      <c r="R151" s="201"/>
      <c r="S151" s="201"/>
      <c r="T151" s="201"/>
      <c r="U151" s="15"/>
      <c r="V151" s="15"/>
      <c r="W151" s="15"/>
      <c r="X151" s="15"/>
      <c r="Y151" s="15">
        <v>206.52649691588812</v>
      </c>
      <c r="Z151" s="15">
        <v>153.47350308411188</v>
      </c>
      <c r="AA151" s="15">
        <v>46.017913319727775</v>
      </c>
      <c r="AB151" s="15">
        <v>1</v>
      </c>
      <c r="AC151" s="15">
        <v>0.39177463531383122</v>
      </c>
      <c r="AD151" s="15">
        <v>0.39177463531383122</v>
      </c>
      <c r="AE151" s="15">
        <v>2.3200882960955398</v>
      </c>
      <c r="AF151" s="15">
        <v>2.711862931409371</v>
      </c>
      <c r="AG151" s="15">
        <v>20.592960948510633</v>
      </c>
      <c r="AH151" s="15">
        <v>20.592960948510633</v>
      </c>
      <c r="AI151" s="15">
        <v>34.952913319727777</v>
      </c>
      <c r="AJ151" s="21">
        <v>0.73583968398461019</v>
      </c>
      <c r="AK151" s="21">
        <v>-28.14336327094199</v>
      </c>
      <c r="AL151" s="24" t="s">
        <v>172</v>
      </c>
      <c r="AM151" s="21">
        <v>20.592960948510633</v>
      </c>
      <c r="AN151" s="21">
        <v>-28.14336327094199</v>
      </c>
      <c r="AO151" s="21"/>
      <c r="AP151" s="15">
        <v>206.53067499044269</v>
      </c>
      <c r="AQ151" s="15">
        <v>153.46932500955731</v>
      </c>
      <c r="AR151" s="15">
        <v>46.017913319727775</v>
      </c>
      <c r="AS151" s="15">
        <v>1</v>
      </c>
      <c r="AT151" s="15">
        <v>0.39170315188004873</v>
      </c>
      <c r="AU151" s="15">
        <v>0.39170315188004873</v>
      </c>
      <c r="AV151" s="15">
        <v>2.3197494147383368</v>
      </c>
      <c r="AW151" s="15">
        <v>2.7114525666183855</v>
      </c>
      <c r="AX151" s="15">
        <v>20.595815983106576</v>
      </c>
      <c r="AY151" s="15">
        <v>20.595815983106576</v>
      </c>
      <c r="AZ151" s="15">
        <v>34.952913319727777</v>
      </c>
      <c r="BA151" s="21">
        <v>0.7358285854292459</v>
      </c>
      <c r="BB151" s="21">
        <v>-28.141920953781693</v>
      </c>
      <c r="BC151" s="24" t="s">
        <v>172</v>
      </c>
      <c r="BD151" s="21">
        <v>20.595815983106576</v>
      </c>
      <c r="BE151" s="21">
        <v>-28.141920953781693</v>
      </c>
      <c r="BF151" s="19"/>
      <c r="BG151" s="19"/>
      <c r="BH151" s="15"/>
      <c r="BI151" s="19"/>
      <c r="BJ151" s="15"/>
      <c r="BK151" s="19"/>
      <c r="BL151" s="15"/>
      <c r="BM151" s="19"/>
      <c r="BN151" s="19"/>
      <c r="BO151" s="19"/>
      <c r="BP151" s="19"/>
      <c r="BQ151" s="19"/>
      <c r="BR151" s="19"/>
      <c r="BS151" s="19"/>
      <c r="BT151" s="2"/>
      <c r="BU151" s="19"/>
      <c r="BV151" s="19"/>
      <c r="BW151" s="19"/>
      <c r="BX151" s="19"/>
      <c r="BY151" s="19"/>
      <c r="BZ151" s="2"/>
      <c r="CA151" s="19"/>
      <c r="CB151" s="19"/>
      <c r="CC151" s="19"/>
      <c r="CD151" s="19"/>
      <c r="CE151" s="19"/>
      <c r="CF151" s="15"/>
      <c r="CG151" s="15"/>
      <c r="CH151" s="21"/>
      <c r="CI151" s="15"/>
      <c r="CJ151" s="15"/>
      <c r="CK151" s="15"/>
      <c r="CL151" s="15"/>
      <c r="CM151" s="15"/>
      <c r="CN151" s="15"/>
      <c r="CO151" s="15"/>
      <c r="CP151" s="15"/>
      <c r="CQ151" s="15"/>
      <c r="CR151" s="15"/>
      <c r="CS151" s="15"/>
      <c r="CT151" s="15"/>
      <c r="CU151" s="15"/>
      <c r="CV151" s="15"/>
      <c r="CW151" s="15"/>
      <c r="CX151" s="15"/>
      <c r="CY151" s="15"/>
      <c r="CZ151" s="10"/>
      <c r="DA151" s="10"/>
      <c r="DB151" s="10"/>
      <c r="DC151" s="10"/>
      <c r="DD151" s="10"/>
      <c r="DE151" s="10"/>
      <c r="DF151" s="10"/>
      <c r="DG151" s="10"/>
      <c r="DH151" s="10"/>
      <c r="DI151" s="10"/>
      <c r="DJ151" s="10"/>
      <c r="DK151" s="15"/>
      <c r="DL151" s="15"/>
      <c r="DM151" s="15"/>
      <c r="DN151" s="15"/>
      <c r="DO151" s="15"/>
      <c r="DP151" s="15"/>
      <c r="DQ151" s="15"/>
      <c r="DR151" s="15"/>
      <c r="DS151" s="15"/>
      <c r="DT151" s="15"/>
      <c r="DU151" s="15"/>
      <c r="DV151" s="15"/>
      <c r="DW151" s="15"/>
      <c r="DX151" s="15"/>
      <c r="DY151" s="15"/>
      <c r="DZ151" s="15"/>
      <c r="EA151" s="15"/>
      <c r="EB151" s="15"/>
      <c r="EC151" s="15"/>
      <c r="ED151" s="15"/>
      <c r="EE151" s="15"/>
      <c r="EF151" s="15"/>
      <c r="EG151" s="15"/>
      <c r="EH151" s="15"/>
      <c r="EI151" s="15"/>
      <c r="EJ151" s="15"/>
      <c r="EK151" s="15"/>
      <c r="EL151" s="15"/>
      <c r="EM151" s="15"/>
      <c r="EN151" s="15"/>
      <c r="EO151" s="15"/>
      <c r="EP151" s="15"/>
      <c r="EQ151" s="15"/>
      <c r="ER151" s="15"/>
      <c r="ES151" s="15"/>
      <c r="ET151" s="15"/>
      <c r="EU151" s="15"/>
      <c r="EV151" s="15"/>
      <c r="EW151" s="15"/>
      <c r="EX151" s="15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</row>
    <row r="152" spans="1:228" ht="15" hidden="1">
      <c r="A152" s="85"/>
      <c r="B152" s="205" t="s">
        <v>203</v>
      </c>
      <c r="C152" s="85">
        <v>6.7527777777777782</v>
      </c>
      <c r="D152" s="85">
        <v>-16.715</v>
      </c>
      <c r="E152" s="206">
        <v>258.47056614630293</v>
      </c>
      <c r="F152" s="206">
        <v>-16.73554225665174</v>
      </c>
      <c r="G152" s="206">
        <v>4.3466670024588936</v>
      </c>
      <c r="H152" s="206">
        <v>-8.3684065664796563</v>
      </c>
      <c r="I152" s="85">
        <v>258.47071451024885</v>
      </c>
      <c r="J152" s="85">
        <v>-16.735909636734711</v>
      </c>
      <c r="K152" s="85"/>
      <c r="L152" s="206"/>
      <c r="M152" s="85"/>
      <c r="N152" s="201"/>
      <c r="O152" s="202" t="s">
        <v>173</v>
      </c>
      <c r="P152" s="201">
        <v>0</v>
      </c>
      <c r="Q152" s="201"/>
      <c r="R152" s="201"/>
      <c r="S152" s="201"/>
      <c r="T152" s="201"/>
      <c r="U152" s="15"/>
      <c r="V152" s="15"/>
      <c r="W152" s="15"/>
      <c r="X152" s="15"/>
      <c r="Y152" s="15">
        <v>335.32430086192045</v>
      </c>
      <c r="Z152" s="15">
        <v>24.675699138079551</v>
      </c>
      <c r="AA152" s="15">
        <v>45.349082548977144</v>
      </c>
      <c r="AB152" s="15">
        <v>0</v>
      </c>
      <c r="AC152" s="15">
        <v>0.42564880656087151</v>
      </c>
      <c r="AD152" s="15">
        <v>-0.42564880656087151</v>
      </c>
      <c r="AE152" s="15">
        <v>2.4246813745473679</v>
      </c>
      <c r="AF152" s="15">
        <v>1.9990325679864964</v>
      </c>
      <c r="AG152" s="15">
        <v>27.008738753409105</v>
      </c>
      <c r="AH152" s="15">
        <v>27.008738753409105</v>
      </c>
      <c r="AI152" s="15">
        <v>34.284082548977146</v>
      </c>
      <c r="AJ152" s="21">
        <v>0.11836340728335532</v>
      </c>
      <c r="AK152" s="21">
        <v>49.753610641075653</v>
      </c>
      <c r="AL152" s="24" t="s">
        <v>173</v>
      </c>
      <c r="AM152" s="21">
        <v>27.008738753409105</v>
      </c>
      <c r="AN152" s="21">
        <v>49.753610641075653</v>
      </c>
      <c r="AO152" s="21"/>
      <c r="AP152" s="15">
        <v>335.32847893647499</v>
      </c>
      <c r="AQ152" s="15">
        <v>24.671521063525006</v>
      </c>
      <c r="AR152" s="15">
        <v>45.349082548977144</v>
      </c>
      <c r="AS152" s="15">
        <v>0</v>
      </c>
      <c r="AT152" s="15">
        <v>0.42573063851856779</v>
      </c>
      <c r="AU152" s="15">
        <v>-0.42573063851856779</v>
      </c>
      <c r="AV152" s="15">
        <v>2.4250662857062926</v>
      </c>
      <c r="AW152" s="15">
        <v>1.9993356471877248</v>
      </c>
      <c r="AX152" s="15">
        <v>27.005224520816611</v>
      </c>
      <c r="AY152" s="15">
        <v>27.005224520816611</v>
      </c>
      <c r="AZ152" s="15">
        <v>34.284082548977146</v>
      </c>
      <c r="BA152" s="21">
        <v>0.11835290944511348</v>
      </c>
      <c r="BB152" s="21">
        <v>49.755472630941945</v>
      </c>
      <c r="BC152" s="24" t="s">
        <v>173</v>
      </c>
      <c r="BD152" s="21">
        <v>27.005224520816611</v>
      </c>
      <c r="BE152" s="21">
        <v>49.755472630941945</v>
      </c>
      <c r="BF152" s="19"/>
      <c r="BG152" s="19"/>
      <c r="BH152" s="15"/>
      <c r="BI152" s="19"/>
      <c r="BJ152" s="15"/>
      <c r="BK152" s="19"/>
      <c r="BL152" s="15"/>
      <c r="BM152" s="19"/>
      <c r="BN152" s="19"/>
      <c r="BO152" s="19"/>
      <c r="BP152" s="19"/>
      <c r="BQ152" s="19"/>
      <c r="BR152" s="19"/>
      <c r="BS152" s="19"/>
      <c r="BT152" s="2"/>
      <c r="BU152" s="19"/>
      <c r="BV152" s="19"/>
      <c r="BW152" s="19"/>
      <c r="BX152" s="19"/>
      <c r="BY152" s="19"/>
      <c r="BZ152" s="2"/>
      <c r="CA152" s="19"/>
      <c r="CB152" s="19"/>
      <c r="CC152" s="19"/>
      <c r="CD152" s="19"/>
      <c r="CE152" s="19"/>
      <c r="CF152" s="15"/>
      <c r="CG152" s="15"/>
      <c r="CH152" s="21"/>
      <c r="CI152" s="15"/>
      <c r="CJ152" s="15"/>
      <c r="CK152" s="15"/>
      <c r="CL152" s="15"/>
      <c r="CM152" s="15"/>
      <c r="CN152" s="15"/>
      <c r="CO152" s="15"/>
      <c r="CP152" s="15"/>
      <c r="CQ152" s="15"/>
      <c r="CR152" s="15"/>
      <c r="CS152" s="15"/>
      <c r="CT152" s="15"/>
      <c r="CU152" s="15"/>
      <c r="CV152" s="15"/>
      <c r="CW152" s="15"/>
      <c r="CX152" s="15"/>
      <c r="CY152" s="15"/>
      <c r="CZ152" s="10"/>
      <c r="DA152" s="10"/>
      <c r="DB152" s="10"/>
      <c r="DC152" s="10"/>
      <c r="DD152" s="10"/>
      <c r="DE152" s="10"/>
      <c r="DF152" s="10"/>
      <c r="DG152" s="10"/>
      <c r="DH152" s="10"/>
      <c r="DI152" s="10"/>
      <c r="DJ152" s="10"/>
      <c r="DK152" s="15"/>
      <c r="DL152" s="15"/>
      <c r="DM152" s="15"/>
      <c r="DN152" s="15"/>
      <c r="DO152" s="15"/>
      <c r="DP152" s="15"/>
      <c r="DQ152" s="15"/>
      <c r="DR152" s="15"/>
      <c r="DS152" s="15"/>
      <c r="DT152" s="15"/>
      <c r="DU152" s="15"/>
      <c r="DV152" s="15"/>
      <c r="DW152" s="15"/>
      <c r="DX152" s="15"/>
      <c r="DY152" s="15"/>
      <c r="DZ152" s="15"/>
      <c r="EA152" s="15"/>
      <c r="EB152" s="15"/>
      <c r="EC152" s="15"/>
      <c r="ED152" s="15"/>
      <c r="EE152" s="15"/>
      <c r="EF152" s="15"/>
      <c r="EG152" s="15"/>
      <c r="EH152" s="15"/>
      <c r="EI152" s="15"/>
      <c r="EJ152" s="15"/>
      <c r="EK152" s="15"/>
      <c r="EL152" s="15"/>
      <c r="EM152" s="15"/>
      <c r="EN152" s="15"/>
      <c r="EO152" s="15"/>
      <c r="EP152" s="15"/>
      <c r="EQ152" s="15"/>
      <c r="ER152" s="15"/>
      <c r="ES152" s="15"/>
      <c r="ET152" s="15"/>
      <c r="EU152" s="15"/>
      <c r="EV152" s="15"/>
      <c r="EW152" s="15"/>
      <c r="EX152" s="15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</row>
    <row r="153" spans="1:228" ht="15" hidden="1">
      <c r="A153" s="85"/>
      <c r="B153" s="205" t="s">
        <v>204</v>
      </c>
      <c r="C153" s="85">
        <v>13.419722222222221</v>
      </c>
      <c r="D153" s="85">
        <v>-11.158333333333333</v>
      </c>
      <c r="E153" s="206">
        <v>158.4674976356734</v>
      </c>
      <c r="F153" s="206">
        <v>-11.256082256121285</v>
      </c>
      <c r="G153" s="206">
        <v>4.3466670024588936</v>
      </c>
      <c r="H153" s="206">
        <v>-8.3684065664796563</v>
      </c>
      <c r="I153" s="85">
        <v>158.4678728661174</v>
      </c>
      <c r="J153" s="85">
        <v>-11.257069255988199</v>
      </c>
      <c r="K153" s="85"/>
      <c r="L153" s="206"/>
      <c r="M153" s="85"/>
      <c r="N153" s="201"/>
      <c r="O153" s="202" t="s">
        <v>174</v>
      </c>
      <c r="P153" s="201">
        <v>0</v>
      </c>
      <c r="Q153" s="201"/>
      <c r="R153" s="201"/>
      <c r="S153" s="201"/>
      <c r="T153" s="201"/>
      <c r="U153" s="15"/>
      <c r="V153" s="15"/>
      <c r="W153" s="15"/>
      <c r="X153" s="15"/>
      <c r="Y153" s="15">
        <v>108.44222006396627</v>
      </c>
      <c r="Z153" s="15">
        <v>108.44222006396627</v>
      </c>
      <c r="AA153" s="15">
        <v>14.465917970682481</v>
      </c>
      <c r="AB153" s="15">
        <v>1</v>
      </c>
      <c r="AC153" s="15">
        <v>6.5213542235213987E-2</v>
      </c>
      <c r="AD153" s="15">
        <v>6.5213542235213987E-2</v>
      </c>
      <c r="AE153" s="15">
        <v>0.27194952169175413</v>
      </c>
      <c r="AF153" s="15">
        <v>0.3371630639269681</v>
      </c>
      <c r="AG153" s="15">
        <v>71.690866649703963</v>
      </c>
      <c r="AH153" s="15">
        <v>288.30913335029607</v>
      </c>
      <c r="AI153" s="15">
        <v>3.4009179706824817</v>
      </c>
      <c r="AJ153" s="21">
        <v>0.62634066302158997</v>
      </c>
      <c r="AK153" s="21">
        <v>-14.636236158457066</v>
      </c>
      <c r="AL153" s="24" t="s">
        <v>174</v>
      </c>
      <c r="AM153" s="21">
        <v>288.30913335029607</v>
      </c>
      <c r="AN153" s="21">
        <v>-14.636236158457066</v>
      </c>
      <c r="AO153" s="21"/>
      <c r="AP153" s="15">
        <v>108.44639813852083</v>
      </c>
      <c r="AQ153" s="15">
        <v>108.44639813852083</v>
      </c>
      <c r="AR153" s="15">
        <v>14.465917970682481</v>
      </c>
      <c r="AS153" s="15">
        <v>1</v>
      </c>
      <c r="AT153" s="15">
        <v>6.5229388748388087E-2</v>
      </c>
      <c r="AU153" s="15">
        <v>6.5229388748388087E-2</v>
      </c>
      <c r="AV153" s="15">
        <v>0.27195613566336246</v>
      </c>
      <c r="AW153" s="15">
        <v>0.33718552441175054</v>
      </c>
      <c r="AX153" s="15">
        <v>71.68972832704678</v>
      </c>
      <c r="AY153" s="15">
        <v>288.31027167295321</v>
      </c>
      <c r="AZ153" s="15">
        <v>3.4009179706824817</v>
      </c>
      <c r="BA153" s="21">
        <v>0.62637353152972419</v>
      </c>
      <c r="BB153" s="21">
        <v>-14.640128968883744</v>
      </c>
      <c r="BC153" s="24" t="s">
        <v>174</v>
      </c>
      <c r="BD153" s="21">
        <v>288.31027167295321</v>
      </c>
      <c r="BE153" s="21">
        <v>-14.640128968883744</v>
      </c>
      <c r="BF153" s="19"/>
      <c r="BG153" s="19"/>
      <c r="BH153" s="15"/>
      <c r="BI153" s="19"/>
      <c r="BJ153" s="15"/>
      <c r="BK153" s="19"/>
      <c r="BL153" s="15"/>
      <c r="BM153" s="19"/>
      <c r="BN153" s="19"/>
      <c r="BO153" s="19"/>
      <c r="BP153" s="19"/>
      <c r="BQ153" s="19"/>
      <c r="BR153" s="19"/>
      <c r="BS153" s="19"/>
      <c r="BT153" s="2"/>
      <c r="BU153" s="19"/>
      <c r="BV153" s="19"/>
      <c r="BW153" s="19"/>
      <c r="BX153" s="19"/>
      <c r="BY153" s="19"/>
      <c r="BZ153" s="2"/>
      <c r="CA153" s="19"/>
      <c r="CB153" s="19"/>
      <c r="CC153" s="19"/>
      <c r="CD153" s="19"/>
      <c r="CE153" s="19"/>
      <c r="CF153" s="15"/>
      <c r="CG153" s="15"/>
      <c r="CH153" s="21"/>
      <c r="CI153" s="15"/>
      <c r="CJ153" s="15"/>
      <c r="CK153" s="15"/>
      <c r="CL153" s="15"/>
      <c r="CM153" s="15"/>
      <c r="CN153" s="15"/>
      <c r="CO153" s="15"/>
      <c r="CP153" s="15"/>
      <c r="CQ153" s="15"/>
      <c r="CR153" s="15"/>
      <c r="CS153" s="15"/>
      <c r="CT153" s="15"/>
      <c r="CU153" s="15"/>
      <c r="CV153" s="15"/>
      <c r="CW153" s="15"/>
      <c r="CX153" s="15"/>
      <c r="CY153" s="15"/>
      <c r="CZ153" s="10"/>
      <c r="DA153" s="10"/>
      <c r="DB153" s="10"/>
      <c r="DC153" s="10"/>
      <c r="DD153" s="10"/>
      <c r="DE153" s="10"/>
      <c r="DF153" s="10"/>
      <c r="DG153" s="10"/>
      <c r="DH153" s="10"/>
      <c r="DI153" s="10"/>
      <c r="DJ153" s="10"/>
      <c r="DK153" s="15"/>
      <c r="DL153" s="15"/>
      <c r="DM153" s="15"/>
      <c r="DN153" s="15"/>
      <c r="DO153" s="15"/>
      <c r="DP153" s="15"/>
      <c r="DQ153" s="15"/>
      <c r="DR153" s="15"/>
      <c r="DS153" s="15"/>
      <c r="DT153" s="15"/>
      <c r="DU153" s="15"/>
      <c r="DV153" s="15"/>
      <c r="DW153" s="15"/>
      <c r="DX153" s="15"/>
      <c r="DY153" s="15"/>
      <c r="DZ153" s="15"/>
      <c r="EA153" s="15"/>
      <c r="EB153" s="15"/>
      <c r="EC153" s="15"/>
      <c r="ED153" s="15"/>
      <c r="EE153" s="15"/>
      <c r="EF153" s="15"/>
      <c r="EG153" s="15"/>
      <c r="EH153" s="15"/>
      <c r="EI153" s="15"/>
      <c r="EJ153" s="15"/>
      <c r="EK153" s="15"/>
      <c r="EL153" s="15"/>
      <c r="EM153" s="15"/>
      <c r="EN153" s="15"/>
      <c r="EO153" s="15"/>
      <c r="EP153" s="15"/>
      <c r="EQ153" s="15"/>
      <c r="ER153" s="15"/>
      <c r="ES153" s="15"/>
      <c r="ET153" s="15"/>
      <c r="EU153" s="15"/>
      <c r="EV153" s="15"/>
      <c r="EW153" s="15"/>
      <c r="EX153" s="15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</row>
    <row r="154" spans="1:228" ht="15" hidden="1">
      <c r="A154" s="85"/>
      <c r="B154" s="205" t="s">
        <v>215</v>
      </c>
      <c r="C154" s="85">
        <v>9.1336111111111098</v>
      </c>
      <c r="D154" s="85">
        <v>-43.43</v>
      </c>
      <c r="E154" s="206">
        <v>222.7701265836192</v>
      </c>
      <c r="F154" s="206">
        <v>-43.506733423436359</v>
      </c>
      <c r="G154" s="206">
        <v>4.3466670024588936</v>
      </c>
      <c r="H154" s="206">
        <v>-8.3684065664796563</v>
      </c>
      <c r="I154" s="85">
        <v>222.77162134261013</v>
      </c>
      <c r="J154" s="85">
        <v>-43.507453715261001</v>
      </c>
      <c r="K154" s="85"/>
      <c r="L154" s="206"/>
      <c r="M154" s="85"/>
      <c r="N154" s="201"/>
      <c r="O154" s="202" t="s">
        <v>175</v>
      </c>
      <c r="P154" s="201">
        <v>0</v>
      </c>
      <c r="Q154" s="201"/>
      <c r="R154" s="201"/>
      <c r="S154" s="201"/>
      <c r="T154" s="201"/>
      <c r="U154" s="15"/>
      <c r="V154" s="15"/>
      <c r="W154" s="15"/>
      <c r="X154" s="15"/>
      <c r="Y154" s="15">
        <v>274.81855709763846</v>
      </c>
      <c r="Z154" s="15">
        <v>85.181442902361539</v>
      </c>
      <c r="AA154" s="15">
        <v>-17.886535075204218</v>
      </c>
      <c r="AB154" s="15">
        <v>0</v>
      </c>
      <c r="AC154" s="15">
        <v>1.6485241598286609E-2</v>
      </c>
      <c r="AD154" s="15">
        <v>-1.6485241598286609E-2</v>
      </c>
      <c r="AE154" s="15">
        <v>-0.32387636959934218</v>
      </c>
      <c r="AF154" s="15">
        <v>-0.34036161119762881</v>
      </c>
      <c r="AG154" s="15">
        <v>71.528911661432531</v>
      </c>
      <c r="AH154" s="15">
        <v>108.47108833856747</v>
      </c>
      <c r="AI154" s="15">
        <v>-28.95153507520422</v>
      </c>
      <c r="AJ154" s="21">
        <v>0.49024563123533083</v>
      </c>
      <c r="AK154" s="21">
        <v>1.1178392382696529</v>
      </c>
      <c r="AL154" s="24" t="s">
        <v>175</v>
      </c>
      <c r="AM154" s="21">
        <v>108.47108833856747</v>
      </c>
      <c r="AN154" s="21">
        <v>1.1178392382696529</v>
      </c>
      <c r="AO154" s="21"/>
      <c r="AP154" s="15">
        <v>274.82273517219301</v>
      </c>
      <c r="AQ154" s="15">
        <v>85.177264827806994</v>
      </c>
      <c r="AR154" s="15">
        <v>-17.886535075204218</v>
      </c>
      <c r="AS154" s="15">
        <v>0</v>
      </c>
      <c r="AT154" s="15">
        <v>1.6499603332003527E-2</v>
      </c>
      <c r="AU154" s="15">
        <v>-1.6499603332003527E-2</v>
      </c>
      <c r="AV154" s="15">
        <v>-0.32387836138794035</v>
      </c>
      <c r="AW154" s="15">
        <v>-0.34037796471994386</v>
      </c>
      <c r="AX154" s="15">
        <v>71.52808440137062</v>
      </c>
      <c r="AY154" s="15">
        <v>108.47191559862938</v>
      </c>
      <c r="AZ154" s="15">
        <v>-28.95153507520422</v>
      </c>
      <c r="BA154" s="21">
        <v>0.49021169841740908</v>
      </c>
      <c r="BB154" s="21">
        <v>1.1217283955147366</v>
      </c>
      <c r="BC154" s="24" t="s">
        <v>175</v>
      </c>
      <c r="BD154" s="21">
        <v>108.47191559862938</v>
      </c>
      <c r="BE154" s="21">
        <v>1.1217283955147366</v>
      </c>
      <c r="BF154" s="19"/>
      <c r="BG154" s="19"/>
      <c r="BH154" s="15"/>
      <c r="BI154" s="19"/>
      <c r="BJ154" s="15"/>
      <c r="BK154" s="19"/>
      <c r="BL154" s="15"/>
      <c r="BM154" s="19"/>
      <c r="BN154" s="19"/>
      <c r="BO154" s="19"/>
      <c r="BP154" s="19"/>
      <c r="BQ154" s="19"/>
      <c r="BR154" s="19"/>
      <c r="BS154" s="19"/>
      <c r="BT154" s="2"/>
      <c r="BU154" s="19"/>
      <c r="BV154" s="19"/>
      <c r="BW154" s="19"/>
      <c r="BX154" s="19"/>
      <c r="BY154" s="19"/>
      <c r="BZ154" s="2"/>
      <c r="CA154" s="19"/>
      <c r="CB154" s="19"/>
      <c r="CC154" s="19"/>
      <c r="CD154" s="19"/>
      <c r="CE154" s="19"/>
      <c r="CF154" s="15"/>
      <c r="CG154" s="15"/>
      <c r="CH154" s="21"/>
      <c r="CI154" s="15"/>
      <c r="CJ154" s="15"/>
      <c r="CK154" s="15"/>
      <c r="CL154" s="15"/>
      <c r="CM154" s="15"/>
      <c r="CN154" s="15"/>
      <c r="CO154" s="15"/>
      <c r="CP154" s="15"/>
      <c r="CQ154" s="15"/>
      <c r="CR154" s="15"/>
      <c r="CS154" s="15"/>
      <c r="CT154" s="15"/>
      <c r="CU154" s="15"/>
      <c r="CV154" s="15"/>
      <c r="CW154" s="15"/>
      <c r="CX154" s="15"/>
      <c r="CY154" s="15"/>
      <c r="CZ154" s="10"/>
      <c r="DA154" s="10"/>
      <c r="DB154" s="10"/>
      <c r="DC154" s="10"/>
      <c r="DD154" s="10"/>
      <c r="DE154" s="10"/>
      <c r="DF154" s="10"/>
      <c r="DG154" s="10"/>
      <c r="DH154" s="10"/>
      <c r="DI154" s="10"/>
      <c r="DJ154" s="10"/>
      <c r="DK154" s="15"/>
      <c r="DL154" s="15"/>
      <c r="DM154" s="15"/>
      <c r="DN154" s="15"/>
      <c r="DO154" s="15"/>
      <c r="DP154" s="15"/>
      <c r="DQ154" s="15"/>
      <c r="DR154" s="15"/>
      <c r="DS154" s="15"/>
      <c r="DT154" s="15"/>
      <c r="DU154" s="15"/>
      <c r="DV154" s="15"/>
      <c r="DW154" s="15"/>
      <c r="DX154" s="15"/>
      <c r="DY154" s="15"/>
      <c r="DZ154" s="15"/>
      <c r="EA154" s="15"/>
      <c r="EB154" s="15"/>
      <c r="EC154" s="15"/>
      <c r="ED154" s="15"/>
      <c r="EE154" s="15"/>
      <c r="EF154" s="15"/>
      <c r="EG154" s="15"/>
      <c r="EH154" s="15"/>
      <c r="EI154" s="15"/>
      <c r="EJ154" s="15"/>
      <c r="EK154" s="15"/>
      <c r="EL154" s="15"/>
      <c r="EM154" s="15"/>
      <c r="EN154" s="15"/>
      <c r="EO154" s="15"/>
      <c r="EP154" s="15"/>
      <c r="EQ154" s="15"/>
      <c r="ER154" s="15"/>
      <c r="ES154" s="15"/>
      <c r="ET154" s="15"/>
      <c r="EU154" s="15"/>
      <c r="EV154" s="15"/>
      <c r="EW154" s="15"/>
      <c r="EX154" s="15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</row>
    <row r="155" spans="1:228" ht="15" hidden="1">
      <c r="A155" s="85"/>
      <c r="B155" s="205" t="s">
        <v>205</v>
      </c>
      <c r="C155" s="85">
        <v>18.615000000000002</v>
      </c>
      <c r="D155" s="85">
        <v>38.783333333333331</v>
      </c>
      <c r="E155" s="206">
        <v>80.506618536474718</v>
      </c>
      <c r="F155" s="206">
        <v>38.800152071163573</v>
      </c>
      <c r="G155" s="206">
        <v>4.3466670024588936</v>
      </c>
      <c r="H155" s="206">
        <v>-8.3684065664796563</v>
      </c>
      <c r="I155" s="85">
        <v>80.506836973749131</v>
      </c>
      <c r="J155" s="85">
        <v>38.79948705406791</v>
      </c>
      <c r="K155" s="85"/>
      <c r="L155" s="206"/>
      <c r="M155" s="85"/>
      <c r="N155" s="201"/>
      <c r="O155" s="202" t="s">
        <v>176</v>
      </c>
      <c r="P155" s="201">
        <v>0</v>
      </c>
      <c r="Q155" s="201"/>
      <c r="R155" s="201"/>
      <c r="S155" s="201"/>
      <c r="T155" s="201"/>
      <c r="U155" s="15"/>
      <c r="V155" s="15"/>
      <c r="W155" s="15"/>
      <c r="X155" s="15"/>
      <c r="Y155" s="15">
        <v>119.73936814677377</v>
      </c>
      <c r="Z155" s="15">
        <v>119.73936814677377</v>
      </c>
      <c r="AA155" s="15">
        <v>61.64398996312778</v>
      </c>
      <c r="AB155" s="15">
        <v>1</v>
      </c>
      <c r="AC155" s="15">
        <v>0.11172240997208391</v>
      </c>
      <c r="AD155" s="15">
        <v>0.11172240997208391</v>
      </c>
      <c r="AE155" s="15">
        <v>2.1339163125489224</v>
      </c>
      <c r="AF155" s="15">
        <v>2.2456387225210062</v>
      </c>
      <c r="AG155" s="15">
        <v>24.405821775075477</v>
      </c>
      <c r="AH155" s="15">
        <v>335.59417822492452</v>
      </c>
      <c r="AI155" s="15">
        <v>50.578989963127782</v>
      </c>
      <c r="AJ155" s="21">
        <v>0.5311633412501402</v>
      </c>
      <c r="AK155" s="21">
        <v>-3.5733719390285188</v>
      </c>
      <c r="AL155" s="24" t="s">
        <v>176</v>
      </c>
      <c r="AM155" s="21">
        <v>335.59417822492452</v>
      </c>
      <c r="AN155" s="21">
        <v>-3.5733719390285188</v>
      </c>
      <c r="AO155" s="21"/>
      <c r="AP155" s="15">
        <v>119.74354622132833</v>
      </c>
      <c r="AQ155" s="15">
        <v>119.74354622132833</v>
      </c>
      <c r="AR155" s="15">
        <v>61.64398996312778</v>
      </c>
      <c r="AS155" s="15">
        <v>1</v>
      </c>
      <c r="AT155" s="15">
        <v>0.11174132541563177</v>
      </c>
      <c r="AU155" s="15">
        <v>0.11174132541563177</v>
      </c>
      <c r="AV155" s="15">
        <v>2.1340052207210811</v>
      </c>
      <c r="AW155" s="15">
        <v>2.2457465461367128</v>
      </c>
      <c r="AX155" s="15">
        <v>24.404786671075581</v>
      </c>
      <c r="AY155" s="15">
        <v>335.59521332892444</v>
      </c>
      <c r="AZ155" s="15">
        <v>50.578989963127782</v>
      </c>
      <c r="BA155" s="21">
        <v>0.53117809753296119</v>
      </c>
      <c r="BB155" s="21">
        <v>-3.5750661799831533</v>
      </c>
      <c r="BC155" s="24" t="s">
        <v>176</v>
      </c>
      <c r="BD155" s="21">
        <v>335.59521332892444</v>
      </c>
      <c r="BE155" s="21">
        <v>-3.5750661799831533</v>
      </c>
      <c r="BF155" s="19"/>
      <c r="BG155" s="19"/>
      <c r="BH155" s="15"/>
      <c r="BI155" s="19"/>
      <c r="BJ155" s="15"/>
      <c r="BK155" s="19"/>
      <c r="BL155" s="15"/>
      <c r="BM155" s="19"/>
      <c r="BN155" s="19"/>
      <c r="BO155" s="19"/>
      <c r="BP155" s="19"/>
      <c r="BQ155" s="19"/>
      <c r="BR155" s="19"/>
      <c r="BS155" s="19"/>
      <c r="BT155" s="2"/>
      <c r="BU155" s="19"/>
      <c r="BV155" s="19"/>
      <c r="BW155" s="19"/>
      <c r="BX155" s="19"/>
      <c r="BY155" s="19"/>
      <c r="BZ155" s="2"/>
      <c r="CA155" s="19"/>
      <c r="CB155" s="19"/>
      <c r="CC155" s="19"/>
      <c r="CD155" s="19"/>
      <c r="CE155" s="19"/>
      <c r="CF155" s="15"/>
      <c r="CG155" s="15"/>
      <c r="CH155" s="21"/>
      <c r="CI155" s="15"/>
      <c r="CJ155" s="15"/>
      <c r="CK155" s="15"/>
      <c r="CL155" s="15"/>
      <c r="CM155" s="15"/>
      <c r="CN155" s="15"/>
      <c r="CO155" s="15"/>
      <c r="CP155" s="15"/>
      <c r="CQ155" s="15"/>
      <c r="CR155" s="15"/>
      <c r="CS155" s="15"/>
      <c r="CT155" s="15"/>
      <c r="CU155" s="15"/>
      <c r="CV155" s="15"/>
      <c r="CW155" s="15"/>
      <c r="CX155" s="15"/>
      <c r="CY155" s="15"/>
      <c r="CZ155" s="10"/>
      <c r="DA155" s="10"/>
      <c r="DB155" s="10"/>
      <c r="DC155" s="10"/>
      <c r="DD155" s="10"/>
      <c r="DE155" s="10"/>
      <c r="DF155" s="10"/>
      <c r="DG155" s="10"/>
      <c r="DH155" s="10"/>
      <c r="DI155" s="10"/>
      <c r="DJ155" s="10"/>
      <c r="DK155" s="15"/>
      <c r="DL155" s="15"/>
      <c r="DM155" s="15"/>
      <c r="DN155" s="15"/>
      <c r="DO155" s="15"/>
      <c r="DP155" s="15"/>
      <c r="DQ155" s="15"/>
      <c r="DR155" s="15"/>
      <c r="DS155" s="15"/>
      <c r="DT155" s="15"/>
      <c r="DU155" s="15"/>
      <c r="DV155" s="15"/>
      <c r="DW155" s="15"/>
      <c r="DX155" s="15"/>
      <c r="DY155" s="15"/>
      <c r="DZ155" s="15"/>
      <c r="EA155" s="15"/>
      <c r="EB155" s="15"/>
      <c r="EC155" s="15"/>
      <c r="ED155" s="15"/>
      <c r="EE155" s="15"/>
      <c r="EF155" s="15"/>
      <c r="EG155" s="15"/>
      <c r="EH155" s="15"/>
      <c r="EI155" s="15"/>
      <c r="EJ155" s="15"/>
      <c r="EK155" s="15"/>
      <c r="EL155" s="15"/>
      <c r="EM155" s="15"/>
      <c r="EN155" s="15"/>
      <c r="EO155" s="15"/>
      <c r="EP155" s="15"/>
      <c r="EQ155" s="15"/>
      <c r="ER155" s="15"/>
      <c r="ES155" s="15"/>
      <c r="ET155" s="15"/>
      <c r="EU155" s="15"/>
      <c r="EV155" s="15"/>
      <c r="EW155" s="15"/>
      <c r="EX155" s="15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</row>
    <row r="156" spans="1:228" ht="15" hidden="1">
      <c r="A156" s="85"/>
      <c r="B156" s="205" t="s">
        <v>206</v>
      </c>
      <c r="C156" s="85">
        <v>14.8475</v>
      </c>
      <c r="D156" s="85">
        <v>-16.038333333333334</v>
      </c>
      <c r="E156" s="206">
        <v>137.05375645919196</v>
      </c>
      <c r="F156" s="206">
        <v>-16.115419612491408</v>
      </c>
      <c r="G156" s="206">
        <v>4.3466670024588936</v>
      </c>
      <c r="H156" s="206">
        <v>-8.3684065664796563</v>
      </c>
      <c r="I156" s="85">
        <v>137.05407053886421</v>
      </c>
      <c r="J156" s="85">
        <v>-16.116368187140456</v>
      </c>
      <c r="K156" s="85"/>
      <c r="L156" s="206"/>
      <c r="M156" s="85"/>
      <c r="N156" s="201"/>
      <c r="O156" s="202" t="s">
        <v>177</v>
      </c>
      <c r="P156" s="201">
        <v>0</v>
      </c>
      <c r="Q156" s="201"/>
      <c r="R156" s="201"/>
      <c r="S156" s="201"/>
      <c r="T156" s="201"/>
      <c r="U156" s="15"/>
      <c r="V156" s="15"/>
      <c r="W156" s="15"/>
      <c r="X156" s="15"/>
      <c r="Y156" s="15">
        <v>204.13066262096828</v>
      </c>
      <c r="Z156" s="15">
        <v>155.86933737903172</v>
      </c>
      <c r="AA156" s="15">
        <v>28.621887965154492</v>
      </c>
      <c r="AB156" s="15">
        <v>1</v>
      </c>
      <c r="AC156" s="15">
        <v>0.43654822534357696</v>
      </c>
      <c r="AD156" s="15">
        <v>0.43654822534357696</v>
      </c>
      <c r="AE156" s="15">
        <v>1.3348535390190903</v>
      </c>
      <c r="AF156" s="15">
        <v>1.7714017643626674</v>
      </c>
      <c r="AG156" s="15">
        <v>29.908284601112801</v>
      </c>
      <c r="AH156" s="15">
        <v>29.908284601112801</v>
      </c>
      <c r="AI156" s="15">
        <v>17.556887965154495</v>
      </c>
      <c r="AJ156" s="21">
        <v>0.84713278888120436</v>
      </c>
      <c r="AK156" s="21">
        <v>-43.968722105584845</v>
      </c>
      <c r="AL156" s="24" t="s">
        <v>177</v>
      </c>
      <c r="AM156" s="21">
        <v>29.908284601112801</v>
      </c>
      <c r="AN156" s="21">
        <v>-43.968722105584845</v>
      </c>
      <c r="AO156" s="21"/>
      <c r="AP156" s="15">
        <v>204.13484069552285</v>
      </c>
      <c r="AQ156" s="15">
        <v>155.86515930447715</v>
      </c>
      <c r="AR156" s="15">
        <v>28.621887965154492</v>
      </c>
      <c r="AS156" s="15">
        <v>1</v>
      </c>
      <c r="AT156" s="15">
        <v>0.43646291606781285</v>
      </c>
      <c r="AU156" s="15">
        <v>0.43646291606781285</v>
      </c>
      <c r="AV156" s="15">
        <v>1.3346362857826835</v>
      </c>
      <c r="AW156" s="15">
        <v>1.7710992018504963</v>
      </c>
      <c r="AX156" s="15">
        <v>29.912514902840822</v>
      </c>
      <c r="AY156" s="15">
        <v>29.912514902840822</v>
      </c>
      <c r="AZ156" s="15">
        <v>17.556887965154495</v>
      </c>
      <c r="BA156" s="21">
        <v>0.84711994678254321</v>
      </c>
      <c r="BB156" s="21">
        <v>-43.966677459041904</v>
      </c>
      <c r="BC156" s="24" t="s">
        <v>177</v>
      </c>
      <c r="BD156" s="21">
        <v>29.912514902840822</v>
      </c>
      <c r="BE156" s="21">
        <v>-43.966677459041904</v>
      </c>
      <c r="BF156" s="19"/>
      <c r="BG156" s="19"/>
      <c r="BH156" s="15"/>
      <c r="BI156" s="19"/>
      <c r="BJ156" s="15"/>
      <c r="BK156" s="19"/>
      <c r="BL156" s="15"/>
      <c r="BM156" s="19"/>
      <c r="BN156" s="19"/>
      <c r="BO156" s="19"/>
      <c r="BP156" s="19"/>
      <c r="BQ156" s="19"/>
      <c r="BR156" s="19"/>
      <c r="BS156" s="19"/>
      <c r="BT156" s="2"/>
      <c r="BU156" s="19"/>
      <c r="BV156" s="19"/>
      <c r="BW156" s="19"/>
      <c r="BX156" s="19"/>
      <c r="BY156" s="19"/>
      <c r="BZ156" s="2"/>
      <c r="CA156" s="19"/>
      <c r="CB156" s="19"/>
      <c r="CC156" s="19"/>
      <c r="CD156" s="19"/>
      <c r="CE156" s="19"/>
      <c r="CF156" s="15"/>
      <c r="CG156" s="15"/>
      <c r="CH156" s="21"/>
      <c r="CI156" s="15"/>
      <c r="CJ156" s="15"/>
      <c r="CK156" s="15"/>
      <c r="CL156" s="15"/>
      <c r="CM156" s="15"/>
      <c r="CN156" s="15"/>
      <c r="CO156" s="15"/>
      <c r="CP156" s="15"/>
      <c r="CQ156" s="15"/>
      <c r="CR156" s="15"/>
      <c r="CS156" s="15"/>
      <c r="CT156" s="15"/>
      <c r="CU156" s="15"/>
      <c r="CV156" s="15"/>
      <c r="CW156" s="15"/>
      <c r="CX156" s="15"/>
      <c r="CY156" s="15"/>
      <c r="CZ156" s="10"/>
      <c r="DA156" s="10"/>
      <c r="DB156" s="10"/>
      <c r="DC156" s="10"/>
      <c r="DD156" s="10"/>
      <c r="DE156" s="10"/>
      <c r="DF156" s="10"/>
      <c r="DG156" s="10"/>
      <c r="DH156" s="10"/>
      <c r="DI156" s="10"/>
      <c r="DJ156" s="10"/>
      <c r="DK156" s="15"/>
      <c r="DL156" s="15"/>
      <c r="DM156" s="15"/>
      <c r="DN156" s="15"/>
      <c r="DO156" s="15"/>
      <c r="DP156" s="15"/>
      <c r="DQ156" s="15"/>
      <c r="DR156" s="15"/>
      <c r="DS156" s="15"/>
      <c r="DT156" s="15"/>
      <c r="DU156" s="15"/>
      <c r="DV156" s="15"/>
      <c r="DW156" s="15"/>
      <c r="DX156" s="15"/>
      <c r="DY156" s="15"/>
      <c r="DZ156" s="15"/>
      <c r="EA156" s="15"/>
      <c r="EB156" s="15"/>
      <c r="EC156" s="15"/>
      <c r="ED156" s="15"/>
      <c r="EE156" s="15"/>
      <c r="EF156" s="15"/>
      <c r="EG156" s="15"/>
      <c r="EH156" s="15"/>
      <c r="EI156" s="15"/>
      <c r="EJ156" s="15"/>
      <c r="EK156" s="15"/>
      <c r="EL156" s="15"/>
      <c r="EM156" s="15"/>
      <c r="EN156" s="15"/>
      <c r="EO156" s="15"/>
      <c r="EP156" s="15"/>
      <c r="EQ156" s="15"/>
      <c r="ER156" s="15"/>
      <c r="ES156" s="15"/>
      <c r="ET156" s="15"/>
      <c r="EU156" s="15"/>
      <c r="EV156" s="15"/>
      <c r="EW156" s="15"/>
      <c r="EX156" s="15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</row>
    <row r="157" spans="1:228" ht="15" hidden="1">
      <c r="A157" s="85"/>
      <c r="B157" s="205"/>
      <c r="C157" s="85"/>
      <c r="D157" s="85"/>
      <c r="E157" s="85"/>
      <c r="F157" s="85"/>
      <c r="G157" s="85"/>
      <c r="H157" s="85"/>
      <c r="I157" s="85"/>
      <c r="J157" s="85"/>
      <c r="K157" s="85"/>
      <c r="L157" s="206"/>
      <c r="M157" s="85"/>
      <c r="N157" s="201"/>
      <c r="O157" s="202" t="s">
        <v>178</v>
      </c>
      <c r="P157" s="201">
        <v>0</v>
      </c>
      <c r="Q157" s="201"/>
      <c r="R157" s="201"/>
      <c r="S157" s="201"/>
      <c r="T157" s="201"/>
      <c r="U157" s="15"/>
      <c r="V157" s="15"/>
      <c r="W157" s="15"/>
      <c r="X157" s="15"/>
      <c r="Y157" s="15">
        <v>16.528059268354738</v>
      </c>
      <c r="Z157" s="15">
        <v>16.528059268354738</v>
      </c>
      <c r="AA157" s="15">
        <v>51.486038408894878</v>
      </c>
      <c r="AB157" s="15">
        <v>0</v>
      </c>
      <c r="AC157" s="15">
        <v>0.65900709867547136</v>
      </c>
      <c r="AD157" s="15">
        <v>-0.65900709867547136</v>
      </c>
      <c r="AE157" s="15">
        <v>4.4169086736261756</v>
      </c>
      <c r="AF157" s="15">
        <v>3.7579015749507043</v>
      </c>
      <c r="AG157" s="15">
        <v>15.170786296624794</v>
      </c>
      <c r="AH157" s="15">
        <v>344.82921370337522</v>
      </c>
      <c r="AI157" s="15">
        <v>40.42103840889488</v>
      </c>
      <c r="AJ157" s="21">
        <v>0.13197563232799855</v>
      </c>
      <c r="AK157" s="21">
        <v>47.395907307674243</v>
      </c>
      <c r="AL157" s="24" t="s">
        <v>178</v>
      </c>
      <c r="AM157" s="21">
        <v>344.82921370337522</v>
      </c>
      <c r="AN157" s="21">
        <v>47.395907307674243</v>
      </c>
      <c r="AO157" s="21"/>
      <c r="AP157" s="15">
        <v>16.532237342909298</v>
      </c>
      <c r="AQ157" s="15">
        <v>16.532237342909298</v>
      </c>
      <c r="AR157" s="15">
        <v>51.486038408894878</v>
      </c>
      <c r="AS157" s="15">
        <v>0</v>
      </c>
      <c r="AT157" s="15">
        <v>0.65883094007291365</v>
      </c>
      <c r="AU157" s="15">
        <v>-0.65883094007291365</v>
      </c>
      <c r="AV157" s="15">
        <v>4.4158235597952018</v>
      </c>
      <c r="AW157" s="15">
        <v>3.756992619722288</v>
      </c>
      <c r="AX157" s="15">
        <v>15.17428745168854</v>
      </c>
      <c r="AY157" s="15">
        <v>344.82571254831146</v>
      </c>
      <c r="AZ157" s="15">
        <v>40.42103840889488</v>
      </c>
      <c r="BA157" s="21">
        <v>0.13198197203493145</v>
      </c>
      <c r="BB157" s="21">
        <v>47.394834122763513</v>
      </c>
      <c r="BC157" s="24" t="s">
        <v>178</v>
      </c>
      <c r="BD157" s="21">
        <v>344.82571254831146</v>
      </c>
      <c r="BE157" s="21">
        <v>47.394834122763513</v>
      </c>
      <c r="BF157" s="19"/>
      <c r="BG157" s="19"/>
      <c r="BH157" s="15"/>
      <c r="BI157" s="19"/>
      <c r="BJ157" s="15"/>
      <c r="BK157" s="19"/>
      <c r="BL157" s="15"/>
      <c r="BM157" s="19"/>
      <c r="BN157" s="19"/>
      <c r="BO157" s="19"/>
      <c r="BP157" s="19"/>
      <c r="BQ157" s="19"/>
      <c r="BR157" s="19"/>
      <c r="BS157" s="19"/>
      <c r="BT157" s="2"/>
      <c r="BU157" s="19"/>
      <c r="BV157" s="19"/>
      <c r="BW157" s="19"/>
      <c r="BX157" s="19"/>
      <c r="BY157" s="19"/>
      <c r="BZ157" s="2"/>
      <c r="CA157" s="19"/>
      <c r="CB157" s="19"/>
      <c r="CC157" s="19"/>
      <c r="CD157" s="19"/>
      <c r="CE157" s="19"/>
      <c r="CF157" s="15"/>
      <c r="CG157" s="15"/>
      <c r="CH157" s="21"/>
      <c r="CI157" s="15"/>
      <c r="CJ157" s="15"/>
      <c r="CK157" s="15"/>
      <c r="CL157" s="15"/>
      <c r="CM157" s="10"/>
      <c r="CN157" s="10"/>
      <c r="CO157" s="10"/>
      <c r="CP157" s="9"/>
      <c r="CQ157" s="10"/>
      <c r="CR157" s="10"/>
      <c r="CS157" s="10"/>
      <c r="CT157" s="10"/>
      <c r="CU157" s="10"/>
      <c r="CV157" s="10"/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5"/>
      <c r="DL157" s="15"/>
      <c r="DM157" s="15"/>
      <c r="DN157" s="15"/>
      <c r="DO157" s="15"/>
      <c r="DP157" s="15"/>
      <c r="DQ157" s="15"/>
      <c r="DR157" s="15"/>
      <c r="DS157" s="15"/>
      <c r="DT157" s="15"/>
      <c r="DU157" s="15"/>
      <c r="DV157" s="15"/>
      <c r="DW157" s="15"/>
      <c r="DX157" s="15"/>
      <c r="DY157" s="15"/>
      <c r="DZ157" s="15"/>
      <c r="EA157" s="15"/>
      <c r="EB157" s="15"/>
      <c r="EC157" s="15"/>
      <c r="ED157" s="15"/>
      <c r="EE157" s="15"/>
      <c r="EF157" s="15"/>
      <c r="EG157" s="15"/>
      <c r="EH157" s="15"/>
      <c r="EI157" s="15"/>
      <c r="EJ157" s="15"/>
      <c r="EK157" s="15"/>
      <c r="EL157" s="15"/>
      <c r="EM157" s="15"/>
      <c r="EN157" s="15"/>
      <c r="EO157" s="15"/>
      <c r="EP157" s="15"/>
      <c r="EQ157" s="15"/>
      <c r="ER157" s="15"/>
      <c r="ES157" s="15"/>
      <c r="ET157" s="15"/>
      <c r="EU157" s="15"/>
      <c r="EV157" s="15"/>
      <c r="EW157" s="15"/>
      <c r="EX157" s="15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</row>
    <row r="158" spans="1:228" ht="15" hidden="1">
      <c r="A158" s="85"/>
      <c r="B158" s="205"/>
      <c r="C158" s="205"/>
      <c r="D158" s="205"/>
      <c r="E158" s="205"/>
      <c r="F158" s="205"/>
      <c r="G158" s="205"/>
      <c r="H158" s="85"/>
      <c r="I158" s="85"/>
      <c r="J158" s="85"/>
      <c r="K158" s="85"/>
      <c r="L158" s="206"/>
      <c r="M158" s="85"/>
      <c r="N158" s="201"/>
      <c r="O158" s="202" t="s">
        <v>179</v>
      </c>
      <c r="P158" s="201">
        <v>0</v>
      </c>
      <c r="Q158" s="201"/>
      <c r="R158" s="201"/>
      <c r="S158" s="201"/>
      <c r="T158" s="201"/>
      <c r="U158" s="15"/>
      <c r="V158" s="15"/>
      <c r="W158" s="15"/>
      <c r="X158" s="15"/>
      <c r="Y158" s="15">
        <v>319.66287020444094</v>
      </c>
      <c r="Z158" s="15">
        <v>40.337129795559065</v>
      </c>
      <c r="AA158" s="15">
        <v>9.9615566587921975</v>
      </c>
      <c r="AB158" s="15">
        <v>0</v>
      </c>
      <c r="AC158" s="15">
        <v>0.23029125437547698</v>
      </c>
      <c r="AD158" s="15">
        <v>-0.23029125437547698</v>
      </c>
      <c r="AE158" s="15">
        <v>0.27134190059176899</v>
      </c>
      <c r="AF158" s="15">
        <v>4.1050646216292008E-2</v>
      </c>
      <c r="AG158" s="15">
        <v>87.692942881273368</v>
      </c>
      <c r="AH158" s="15">
        <v>87.692942881273368</v>
      </c>
      <c r="AI158" s="15">
        <v>-1.103443341207802</v>
      </c>
      <c r="AJ158" s="21">
        <v>0.11499947810530592</v>
      </c>
      <c r="AK158" s="21">
        <v>50.353982584487426</v>
      </c>
      <c r="AL158" s="24" t="s">
        <v>179</v>
      </c>
      <c r="AM158" s="21">
        <v>87.692942881273368</v>
      </c>
      <c r="AN158" s="21">
        <v>50.353982584487426</v>
      </c>
      <c r="AO158" s="21"/>
      <c r="AP158" s="15">
        <v>319.66704827899554</v>
      </c>
      <c r="AQ158" s="15">
        <v>40.332951721004463</v>
      </c>
      <c r="AR158" s="15">
        <v>9.9615566587921975</v>
      </c>
      <c r="AS158" s="15">
        <v>0</v>
      </c>
      <c r="AT158" s="15">
        <v>0.23032529336228999</v>
      </c>
      <c r="AU158" s="15">
        <v>-0.23032529336228999</v>
      </c>
      <c r="AV158" s="15">
        <v>0.2713652042039435</v>
      </c>
      <c r="AW158" s="15">
        <v>4.103991084165351E-2</v>
      </c>
      <c r="AX158" s="15">
        <v>87.693545560487252</v>
      </c>
      <c r="AY158" s="15">
        <v>87.693545560487252</v>
      </c>
      <c r="AZ158" s="15">
        <v>-1.103443341207802</v>
      </c>
      <c r="BA158" s="21">
        <v>0.11497666665185434</v>
      </c>
      <c r="BB158" s="21">
        <v>50.358079666257474</v>
      </c>
      <c r="BC158" s="24" t="s">
        <v>179</v>
      </c>
      <c r="BD158" s="21">
        <v>87.693545560487252</v>
      </c>
      <c r="BE158" s="21">
        <v>50.358079666257474</v>
      </c>
      <c r="BF158" s="19"/>
      <c r="BG158" s="19"/>
      <c r="BH158" s="15"/>
      <c r="BI158" s="19"/>
      <c r="BJ158" s="15"/>
      <c r="BK158" s="19"/>
      <c r="BL158" s="15"/>
      <c r="BM158" s="19"/>
      <c r="BN158" s="19"/>
      <c r="BO158" s="19"/>
      <c r="BP158" s="19"/>
      <c r="BQ158" s="19"/>
      <c r="BR158" s="19"/>
      <c r="BS158" s="19"/>
      <c r="BT158" s="2"/>
      <c r="BU158" s="19"/>
      <c r="BV158" s="19"/>
      <c r="BW158" s="19"/>
      <c r="BX158" s="19"/>
      <c r="BY158" s="19"/>
      <c r="BZ158" s="2"/>
      <c r="CA158" s="19"/>
      <c r="CB158" s="19"/>
      <c r="CC158" s="19"/>
      <c r="CD158" s="19"/>
      <c r="CE158" s="19"/>
      <c r="CF158" s="15"/>
      <c r="CG158" s="15"/>
      <c r="CH158" s="21"/>
      <c r="CI158" s="15"/>
      <c r="CJ158" s="15"/>
      <c r="CK158" s="15"/>
      <c r="CL158" s="15"/>
      <c r="CM158" s="10"/>
      <c r="CN158" s="10"/>
      <c r="CO158" s="10"/>
      <c r="CP158" s="9"/>
      <c r="CQ158" s="10"/>
      <c r="CR158" s="10"/>
      <c r="CS158" s="10"/>
      <c r="CT158" s="10"/>
      <c r="CU158" s="10"/>
      <c r="CV158" s="10"/>
      <c r="CW158" s="10"/>
      <c r="CX158" s="10"/>
      <c r="CY158" s="10"/>
      <c r="CZ158" s="10"/>
      <c r="DA158" s="10"/>
      <c r="DB158" s="10"/>
      <c r="DC158" s="10"/>
      <c r="DD158" s="10"/>
      <c r="DE158" s="10"/>
      <c r="DF158" s="10"/>
      <c r="DG158" s="10"/>
      <c r="DH158" s="10"/>
      <c r="DI158" s="10"/>
      <c r="DJ158" s="10"/>
      <c r="DK158" s="15"/>
      <c r="DL158" s="15"/>
      <c r="DM158" s="15"/>
      <c r="DN158" s="15"/>
      <c r="DO158" s="15"/>
      <c r="DP158" s="15"/>
      <c r="DQ158" s="15"/>
      <c r="DR158" s="15"/>
      <c r="DS158" s="15"/>
      <c r="DT158" s="15"/>
      <c r="DU158" s="15"/>
      <c r="DV158" s="15"/>
      <c r="DW158" s="15"/>
      <c r="DX158" s="15"/>
      <c r="DY158" s="15"/>
      <c r="DZ158" s="15"/>
      <c r="EA158" s="15"/>
      <c r="EB158" s="15"/>
      <c r="EC158" s="15"/>
      <c r="ED158" s="15"/>
      <c r="EE158" s="15"/>
      <c r="EF158" s="15"/>
      <c r="EG158" s="15"/>
      <c r="EH158" s="15"/>
      <c r="EI158" s="15"/>
      <c r="EJ158" s="15"/>
      <c r="EK158" s="15"/>
      <c r="EL158" s="15"/>
      <c r="EM158" s="15"/>
      <c r="EN158" s="15"/>
      <c r="EO158" s="15"/>
      <c r="EP158" s="15"/>
      <c r="EQ158" s="15"/>
      <c r="ER158" s="15"/>
      <c r="ES158" s="15"/>
      <c r="ET158" s="15"/>
      <c r="EU158" s="15"/>
      <c r="EV158" s="15"/>
      <c r="EW158" s="15"/>
      <c r="EX158" s="15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</row>
    <row r="159" spans="1:228" ht="15" hidden="1">
      <c r="A159" s="85"/>
      <c r="B159" s="205"/>
      <c r="C159" s="205"/>
      <c r="D159" s="205"/>
      <c r="E159" s="205"/>
      <c r="F159" s="205"/>
      <c r="G159" s="205"/>
      <c r="H159" s="85"/>
      <c r="I159" s="85"/>
      <c r="J159" s="85"/>
      <c r="K159" s="85"/>
      <c r="L159" s="206"/>
      <c r="M159" s="85"/>
      <c r="N159" s="201"/>
      <c r="O159" s="202" t="s">
        <v>180</v>
      </c>
      <c r="P159" s="201">
        <v>0</v>
      </c>
      <c r="Q159" s="201"/>
      <c r="R159" s="201"/>
      <c r="S159" s="201"/>
      <c r="T159" s="201"/>
      <c r="U159" s="15"/>
      <c r="V159" s="15"/>
      <c r="W159" s="15"/>
      <c r="X159" s="15"/>
      <c r="Y159" s="15">
        <v>301.32852843140256</v>
      </c>
      <c r="Z159" s="15">
        <v>58.67147156859744</v>
      </c>
      <c r="AA159" s="15">
        <v>-29.52606089389235</v>
      </c>
      <c r="AB159" s="15">
        <v>0</v>
      </c>
      <c r="AC159" s="15">
        <v>0.11903447282291245</v>
      </c>
      <c r="AD159" s="15">
        <v>-0.11903447282291245</v>
      </c>
      <c r="AE159" s="15">
        <v>-0.66304535930689379</v>
      </c>
      <c r="AF159" s="15">
        <v>-0.78207983212980625</v>
      </c>
      <c r="AG159" s="15">
        <v>52.492281717661456</v>
      </c>
      <c r="AH159" s="15">
        <v>127.50771828233854</v>
      </c>
      <c r="AI159" s="15">
        <v>-40.591060893892347</v>
      </c>
      <c r="AJ159" s="21">
        <v>0.32528671368186735</v>
      </c>
      <c r="AK159" s="21">
        <v>20.452245753648739</v>
      </c>
      <c r="AL159" s="24" t="s">
        <v>180</v>
      </c>
      <c r="AM159" s="21">
        <v>127.50771828233854</v>
      </c>
      <c r="AN159" s="21">
        <v>20.452245753648739</v>
      </c>
      <c r="AO159" s="21"/>
      <c r="AP159" s="15">
        <v>301.33270650595716</v>
      </c>
      <c r="AQ159" s="15">
        <v>58.667293494042838</v>
      </c>
      <c r="AR159" s="15">
        <v>-29.52606089389235</v>
      </c>
      <c r="AS159" s="15">
        <v>0</v>
      </c>
      <c r="AT159" s="15">
        <v>0.11905401752287163</v>
      </c>
      <c r="AU159" s="15">
        <v>-0.11905401752287163</v>
      </c>
      <c r="AV159" s="15">
        <v>-0.66307479264216518</v>
      </c>
      <c r="AW159" s="15">
        <v>-0.78212881016503677</v>
      </c>
      <c r="AX159" s="15">
        <v>52.490548680243286</v>
      </c>
      <c r="AY159" s="15">
        <v>127.50945131975672</v>
      </c>
      <c r="AZ159" s="15">
        <v>-40.591060893892347</v>
      </c>
      <c r="BA159" s="21">
        <v>0.32526011813153088</v>
      </c>
      <c r="BB159" s="21">
        <v>20.455498449216876</v>
      </c>
      <c r="BC159" s="24" t="s">
        <v>180</v>
      </c>
      <c r="BD159" s="21">
        <v>127.50945131975672</v>
      </c>
      <c r="BE159" s="21">
        <v>20.455498449216876</v>
      </c>
      <c r="BF159" s="19"/>
      <c r="BG159" s="19"/>
      <c r="BH159" s="15"/>
      <c r="BI159" s="19"/>
      <c r="BJ159" s="15"/>
      <c r="BK159" s="19"/>
      <c r="BL159" s="15"/>
      <c r="BM159" s="19"/>
      <c r="BN159" s="19"/>
      <c r="BO159" s="19"/>
      <c r="BP159" s="19"/>
      <c r="BQ159" s="19"/>
      <c r="BR159" s="19"/>
      <c r="BS159" s="19"/>
      <c r="BT159" s="2"/>
      <c r="BU159" s="19"/>
      <c r="BV159" s="19"/>
      <c r="BW159" s="19"/>
      <c r="BX159" s="19"/>
      <c r="BY159" s="19"/>
      <c r="BZ159" s="2"/>
      <c r="CA159" s="19"/>
      <c r="CB159" s="19"/>
      <c r="CC159" s="19"/>
      <c r="CD159" s="19"/>
      <c r="CE159" s="19"/>
      <c r="CF159" s="15"/>
      <c r="CG159" s="15"/>
      <c r="CH159" s="21"/>
      <c r="CI159" s="15"/>
      <c r="CJ159" s="15"/>
      <c r="CK159" s="15"/>
      <c r="CL159" s="15"/>
      <c r="CM159" s="10"/>
      <c r="CN159" s="10"/>
      <c r="CO159" s="10"/>
      <c r="CP159" s="9"/>
      <c r="CQ159" s="10"/>
      <c r="CR159" s="10"/>
      <c r="CS159" s="10"/>
      <c r="CT159" s="10"/>
      <c r="CU159" s="10"/>
      <c r="CV159" s="10"/>
      <c r="CW159" s="10"/>
      <c r="CX159" s="10"/>
      <c r="CY159" s="10"/>
      <c r="CZ159" s="10"/>
      <c r="DA159" s="10"/>
      <c r="DB159" s="10"/>
      <c r="DC159" s="10"/>
      <c r="DD159" s="10"/>
      <c r="DE159" s="10"/>
      <c r="DF159" s="10"/>
      <c r="DG159" s="10"/>
      <c r="DH159" s="10"/>
      <c r="DI159" s="10"/>
      <c r="DJ159" s="10"/>
      <c r="DK159" s="15"/>
      <c r="DL159" s="15"/>
      <c r="DM159" s="15"/>
      <c r="DN159" s="15"/>
      <c r="DO159" s="15"/>
      <c r="DP159" s="15"/>
      <c r="DQ159" s="15"/>
      <c r="DR159" s="15"/>
      <c r="DS159" s="15"/>
      <c r="DT159" s="15"/>
      <c r="DU159" s="15"/>
      <c r="DV159" s="15"/>
      <c r="DW159" s="15"/>
      <c r="DX159" s="15"/>
      <c r="DY159" s="15"/>
      <c r="DZ159" s="15"/>
      <c r="EA159" s="15"/>
      <c r="EB159" s="15"/>
      <c r="EC159" s="15"/>
      <c r="ED159" s="15"/>
      <c r="EE159" s="15"/>
      <c r="EF159" s="15"/>
      <c r="EG159" s="15"/>
      <c r="EH159" s="15"/>
      <c r="EI159" s="15"/>
      <c r="EJ159" s="15"/>
      <c r="EK159" s="15"/>
      <c r="EL159" s="15"/>
      <c r="EM159" s="15"/>
      <c r="EN159" s="15"/>
      <c r="EO159" s="15"/>
      <c r="EP159" s="15"/>
      <c r="EQ159" s="15"/>
      <c r="ER159" s="15"/>
      <c r="ES159" s="15"/>
      <c r="ET159" s="15"/>
      <c r="EU159" s="15"/>
      <c r="EV159" s="15"/>
      <c r="EW159" s="15"/>
      <c r="EX159" s="15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</row>
    <row r="160" spans="1:228" ht="15" hidden="1">
      <c r="A160" s="85"/>
      <c r="B160" s="205"/>
      <c r="C160" s="205"/>
      <c r="D160" s="205"/>
      <c r="E160" s="205"/>
      <c r="F160" s="205"/>
      <c r="G160" s="205"/>
      <c r="H160" s="85"/>
      <c r="I160" s="85"/>
      <c r="J160" s="85"/>
      <c r="K160" s="85"/>
      <c r="L160" s="206"/>
      <c r="M160" s="85"/>
      <c r="N160" s="201"/>
      <c r="O160" s="202" t="s">
        <v>181</v>
      </c>
      <c r="P160" s="201">
        <v>0</v>
      </c>
      <c r="Q160" s="201"/>
      <c r="R160" s="201"/>
      <c r="S160" s="201"/>
      <c r="T160" s="201"/>
      <c r="U160" s="15"/>
      <c r="V160" s="15"/>
      <c r="W160" s="15"/>
      <c r="X160" s="15"/>
      <c r="Y160" s="15">
        <v>97.958070261929564</v>
      </c>
      <c r="Z160" s="15">
        <v>97.958070261929564</v>
      </c>
      <c r="AA160" s="15">
        <v>-57.211590439805349</v>
      </c>
      <c r="AB160" s="15">
        <v>1</v>
      </c>
      <c r="AC160" s="15">
        <v>2.733794682745895E-2</v>
      </c>
      <c r="AD160" s="15">
        <v>2.733794682745895E-2</v>
      </c>
      <c r="AE160" s="15">
        <v>-1.5674812258081785</v>
      </c>
      <c r="AF160" s="15">
        <v>-1.5401432789807195</v>
      </c>
      <c r="AG160" s="15">
        <v>33.488187943084519</v>
      </c>
      <c r="AH160" s="15">
        <v>213.48818794308451</v>
      </c>
      <c r="AI160" s="15">
        <v>-68.276590439805346</v>
      </c>
      <c r="AJ160" s="21">
        <v>0.61746298176723713</v>
      </c>
      <c r="AK160" s="21">
        <v>-13.587258619467661</v>
      </c>
      <c r="AL160" s="24" t="s">
        <v>181</v>
      </c>
      <c r="AM160" s="21">
        <v>213.48818794308451</v>
      </c>
      <c r="AN160" s="21">
        <v>-13.587258619467661</v>
      </c>
      <c r="AO160" s="21"/>
      <c r="AP160" s="15">
        <v>97.962248336484123</v>
      </c>
      <c r="AQ160" s="15">
        <v>97.962248336484123</v>
      </c>
      <c r="AR160" s="15">
        <v>-57.211590439805349</v>
      </c>
      <c r="AS160" s="15">
        <v>1</v>
      </c>
      <c r="AT160" s="15">
        <v>2.7352485966604202E-2</v>
      </c>
      <c r="AU160" s="15">
        <v>2.7352485966604202E-2</v>
      </c>
      <c r="AV160" s="15">
        <v>-1.5674972090223724</v>
      </c>
      <c r="AW160" s="15">
        <v>-1.5401447230557683</v>
      </c>
      <c r="AX160" s="15">
        <v>33.488163221800612</v>
      </c>
      <c r="AY160" s="15">
        <v>213.48816322180062</v>
      </c>
      <c r="AZ160" s="15">
        <v>-68.276590439805346</v>
      </c>
      <c r="BA160" s="21">
        <v>0.61748217279567019</v>
      </c>
      <c r="BB160" s="21">
        <v>-13.589521078670799</v>
      </c>
      <c r="BC160" s="24" t="s">
        <v>181</v>
      </c>
      <c r="BD160" s="21">
        <v>213.48816322180062</v>
      </c>
      <c r="BE160" s="21">
        <v>-13.589521078670799</v>
      </c>
      <c r="BF160" s="19"/>
      <c r="BG160" s="19"/>
      <c r="BH160" s="15"/>
      <c r="BI160" s="19"/>
      <c r="BJ160" s="15"/>
      <c r="BK160" s="19"/>
      <c r="BL160" s="15"/>
      <c r="BM160" s="19"/>
      <c r="BN160" s="19"/>
      <c r="BO160" s="19"/>
      <c r="BP160" s="19"/>
      <c r="BQ160" s="19"/>
      <c r="BR160" s="19"/>
      <c r="BS160" s="19"/>
      <c r="BT160" s="2"/>
      <c r="BU160" s="19"/>
      <c r="BV160" s="19"/>
      <c r="BW160" s="19"/>
      <c r="BX160" s="19"/>
      <c r="BY160" s="19"/>
      <c r="BZ160" s="2"/>
      <c r="CA160" s="19"/>
      <c r="CB160" s="19"/>
      <c r="CC160" s="19"/>
      <c r="CD160" s="19"/>
      <c r="CE160" s="19"/>
      <c r="CF160" s="15"/>
      <c r="CG160" s="15"/>
      <c r="CH160" s="21"/>
      <c r="CI160" s="15"/>
      <c r="CJ160" s="15"/>
      <c r="CK160" s="15"/>
      <c r="CL160" s="15"/>
      <c r="CM160" s="10"/>
      <c r="CN160" s="10"/>
      <c r="CO160" s="10"/>
      <c r="CP160" s="9"/>
      <c r="CQ160" s="10"/>
      <c r="CR160" s="10"/>
      <c r="CS160" s="10"/>
      <c r="CT160" s="10"/>
      <c r="CU160" s="10"/>
      <c r="CV160" s="10"/>
      <c r="CW160" s="10"/>
      <c r="CX160" s="10"/>
      <c r="CY160" s="10"/>
      <c r="CZ160" s="10"/>
      <c r="DA160" s="10"/>
      <c r="DB160" s="10"/>
      <c r="DC160" s="10"/>
      <c r="DD160" s="10"/>
      <c r="DE160" s="10"/>
      <c r="DF160" s="10"/>
      <c r="DG160" s="10"/>
      <c r="DH160" s="10"/>
      <c r="DI160" s="10"/>
      <c r="DJ160" s="10"/>
      <c r="DK160" s="15"/>
      <c r="DL160" s="15"/>
      <c r="DM160" s="15"/>
      <c r="DN160" s="15"/>
      <c r="DO160" s="15"/>
      <c r="DP160" s="15"/>
      <c r="DQ160" s="15"/>
      <c r="DR160" s="15"/>
      <c r="DS160" s="15"/>
      <c r="DT160" s="15"/>
      <c r="DU160" s="15"/>
      <c r="DV160" s="15"/>
      <c r="DW160" s="15"/>
      <c r="DX160" s="15"/>
      <c r="DY160" s="15"/>
      <c r="DZ160" s="15"/>
      <c r="EA160" s="15"/>
      <c r="EB160" s="15"/>
      <c r="EC160" s="15"/>
      <c r="ED160" s="15"/>
      <c r="EE160" s="15"/>
      <c r="EF160" s="15"/>
      <c r="EG160" s="15"/>
      <c r="EH160" s="15"/>
      <c r="EI160" s="15"/>
      <c r="EJ160" s="15"/>
      <c r="EK160" s="15"/>
      <c r="EL160" s="15"/>
      <c r="EM160" s="15"/>
      <c r="EN160" s="15"/>
      <c r="EO160" s="15"/>
      <c r="EP160" s="15"/>
      <c r="EQ160" s="15"/>
      <c r="ER160" s="15"/>
      <c r="ES160" s="15"/>
      <c r="ET160" s="15"/>
      <c r="EU160" s="15"/>
      <c r="EV160" s="15"/>
      <c r="EW160" s="15"/>
      <c r="EX160" s="15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</row>
    <row r="161" spans="1:228" ht="15" hidden="1">
      <c r="A161" s="85"/>
      <c r="B161" s="85"/>
      <c r="C161" s="85"/>
      <c r="D161" s="205"/>
      <c r="E161" s="205"/>
      <c r="F161" s="205"/>
      <c r="G161" s="205"/>
      <c r="H161" s="205"/>
      <c r="I161" s="205"/>
      <c r="J161" s="85"/>
      <c r="K161" s="85"/>
      <c r="L161" s="206"/>
      <c r="M161" s="85"/>
      <c r="N161" s="201"/>
      <c r="O161" s="202" t="s">
        <v>182</v>
      </c>
      <c r="P161" s="201">
        <v>0</v>
      </c>
      <c r="Q161" s="201"/>
      <c r="R161" s="201"/>
      <c r="S161" s="201"/>
      <c r="T161" s="201"/>
      <c r="U161" s="15"/>
      <c r="V161" s="15"/>
      <c r="W161" s="15"/>
      <c r="X161" s="15"/>
      <c r="Y161" s="15">
        <v>101.76793038901484</v>
      </c>
      <c r="Z161" s="15">
        <v>101.76793038901484</v>
      </c>
      <c r="AA161" s="15">
        <v>-17.643969634393958</v>
      </c>
      <c r="AB161" s="15">
        <v>1</v>
      </c>
      <c r="AC161" s="15">
        <v>4.0739951798067796E-2</v>
      </c>
      <c r="AD161" s="15">
        <v>4.0739951798067796E-2</v>
      </c>
      <c r="AE161" s="15">
        <v>-0.32489221279290814</v>
      </c>
      <c r="AF161" s="15">
        <v>-0.28415226099484037</v>
      </c>
      <c r="AG161" s="15">
        <v>74.417814035999086</v>
      </c>
      <c r="AH161" s="15">
        <v>254.41781403599907</v>
      </c>
      <c r="AI161" s="15">
        <v>-28.708969634393959</v>
      </c>
      <c r="AJ161" s="21">
        <v>0.62445650039909006</v>
      </c>
      <c r="AK161" s="21">
        <v>-14.413198502949825</v>
      </c>
      <c r="AL161" s="24" t="s">
        <v>182</v>
      </c>
      <c r="AM161" s="21">
        <v>254.41781403599907</v>
      </c>
      <c r="AN161" s="21">
        <v>-14.413198502949825</v>
      </c>
      <c r="AO161" s="21"/>
      <c r="AP161" s="15">
        <v>101.7721084635694</v>
      </c>
      <c r="AQ161" s="15">
        <v>101.7721084635694</v>
      </c>
      <c r="AR161" s="15">
        <v>-17.643969634393958</v>
      </c>
      <c r="AS161" s="15">
        <v>1</v>
      </c>
      <c r="AT161" s="15">
        <v>4.0754831230552721E-2</v>
      </c>
      <c r="AU161" s="15">
        <v>4.0754831230552721E-2</v>
      </c>
      <c r="AV161" s="15">
        <v>-0.32489714930956282</v>
      </c>
      <c r="AW161" s="15">
        <v>-0.28414231807901008</v>
      </c>
      <c r="AX161" s="15">
        <v>74.41833279130941</v>
      </c>
      <c r="AY161" s="15">
        <v>254.41833279130941</v>
      </c>
      <c r="AZ161" s="15">
        <v>-28.708969634393959</v>
      </c>
      <c r="BA161" s="21">
        <v>0.62448988293031682</v>
      </c>
      <c r="BB161" s="21">
        <v>-14.417148206713705</v>
      </c>
      <c r="BC161" s="24" t="s">
        <v>182</v>
      </c>
      <c r="BD161" s="21">
        <v>254.41833279130941</v>
      </c>
      <c r="BE161" s="21">
        <v>-14.417148206713705</v>
      </c>
      <c r="BF161" s="19"/>
      <c r="BG161" s="19"/>
      <c r="BH161" s="15"/>
      <c r="BI161" s="19"/>
      <c r="BJ161" s="15"/>
      <c r="BK161" s="19"/>
      <c r="BL161" s="15"/>
      <c r="BM161" s="19"/>
      <c r="BN161" s="19"/>
      <c r="BO161" s="19"/>
      <c r="BP161" s="19"/>
      <c r="BQ161" s="19"/>
      <c r="BR161" s="19"/>
      <c r="BS161" s="19"/>
      <c r="BT161" s="2"/>
      <c r="BU161" s="19"/>
      <c r="BV161" s="19"/>
      <c r="BW161" s="19"/>
      <c r="BX161" s="19"/>
      <c r="BY161" s="19"/>
      <c r="BZ161" s="2"/>
      <c r="CA161" s="19"/>
      <c r="CB161" s="19"/>
      <c r="CC161" s="19"/>
      <c r="CD161" s="19"/>
      <c r="CE161" s="19"/>
      <c r="CF161" s="15"/>
      <c r="CG161" s="15"/>
      <c r="CH161" s="21"/>
      <c r="CI161" s="15"/>
      <c r="CJ161" s="15"/>
      <c r="CK161" s="15"/>
      <c r="CL161" s="15"/>
      <c r="CM161" s="10"/>
      <c r="CN161" s="10"/>
      <c r="CO161" s="10"/>
      <c r="CP161" s="9"/>
      <c r="CQ161" s="10"/>
      <c r="CR161" s="10"/>
      <c r="CS161" s="10"/>
      <c r="CT161" s="10"/>
      <c r="CU161" s="10"/>
      <c r="CV161" s="10"/>
      <c r="CW161" s="10"/>
      <c r="CX161" s="10"/>
      <c r="CY161" s="10"/>
      <c r="CZ161" s="10"/>
      <c r="DA161" s="10"/>
      <c r="DB161" s="10"/>
      <c r="DC161" s="10"/>
      <c r="DD161" s="10"/>
      <c r="DE161" s="10"/>
      <c r="DF161" s="10"/>
      <c r="DG161" s="10"/>
      <c r="DH161" s="10"/>
      <c r="DI161" s="10"/>
      <c r="DJ161" s="10"/>
      <c r="DK161" s="15"/>
      <c r="DL161" s="15"/>
      <c r="DM161" s="15"/>
      <c r="DN161" s="15"/>
      <c r="DO161" s="15"/>
      <c r="DP161" s="15"/>
      <c r="DQ161" s="15"/>
      <c r="DR161" s="15"/>
      <c r="DS161" s="15"/>
      <c r="DT161" s="15"/>
      <c r="DU161" s="15"/>
      <c r="DV161" s="15"/>
      <c r="DW161" s="15"/>
      <c r="DX161" s="15"/>
      <c r="DY161" s="15"/>
      <c r="DZ161" s="15"/>
      <c r="EA161" s="15"/>
      <c r="EB161" s="15"/>
      <c r="EC161" s="15"/>
      <c r="ED161" s="15"/>
      <c r="EE161" s="15"/>
      <c r="EF161" s="15"/>
      <c r="EG161" s="15"/>
      <c r="EH161" s="15"/>
      <c r="EI161" s="15"/>
      <c r="EJ161" s="15"/>
      <c r="EK161" s="15"/>
      <c r="EL161" s="15"/>
      <c r="EM161" s="15"/>
      <c r="EN161" s="15"/>
      <c r="EO161" s="15"/>
      <c r="EP161" s="15"/>
      <c r="EQ161" s="15"/>
      <c r="ER161" s="15"/>
      <c r="ES161" s="15"/>
      <c r="ET161" s="15"/>
      <c r="EU161" s="15"/>
      <c r="EV161" s="15"/>
      <c r="EW161" s="15"/>
      <c r="EX161" s="15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</row>
    <row r="162" spans="1:228" ht="15" hidden="1">
      <c r="A162" s="85"/>
      <c r="B162" s="85"/>
      <c r="C162" s="85"/>
      <c r="D162" s="205"/>
      <c r="E162" s="205"/>
      <c r="F162" s="205"/>
      <c r="G162" s="205"/>
      <c r="H162" s="205"/>
      <c r="I162" s="205"/>
      <c r="J162" s="85"/>
      <c r="K162" s="85"/>
      <c r="L162" s="206"/>
      <c r="M162" s="85"/>
      <c r="N162" s="201"/>
      <c r="O162" s="202" t="s">
        <v>183</v>
      </c>
      <c r="P162" s="201">
        <v>0</v>
      </c>
      <c r="Q162" s="201"/>
      <c r="R162" s="201"/>
      <c r="S162" s="201"/>
      <c r="T162" s="201"/>
      <c r="U162" s="15"/>
      <c r="V162" s="15"/>
      <c r="W162" s="15"/>
      <c r="X162" s="15"/>
      <c r="Y162" s="15">
        <v>74.808792547874859</v>
      </c>
      <c r="Z162" s="15">
        <v>74.808792547874859</v>
      </c>
      <c r="AA162" s="15">
        <v>-60.457618211552891</v>
      </c>
      <c r="AB162" s="15">
        <v>0</v>
      </c>
      <c r="AC162" s="15">
        <v>5.3099680799003172E-2</v>
      </c>
      <c r="AD162" s="15">
        <v>-5.3099680799003172E-2</v>
      </c>
      <c r="AE162" s="15">
        <v>-1.8283354845928546</v>
      </c>
      <c r="AF162" s="15">
        <v>-1.8814351653918577</v>
      </c>
      <c r="AG162" s="15">
        <v>28.438957144459742</v>
      </c>
      <c r="AH162" s="15">
        <v>208.43895714445975</v>
      </c>
      <c r="AI162" s="15">
        <v>-71.522618211552896</v>
      </c>
      <c r="AJ162" s="21">
        <v>0.52008444967802314</v>
      </c>
      <c r="AK162" s="21">
        <v>-2.3021277801130395</v>
      </c>
      <c r="AL162" s="24" t="s">
        <v>183</v>
      </c>
      <c r="AM162" s="21">
        <v>208.43895714445975</v>
      </c>
      <c r="AN162" s="21">
        <v>-2.3021277801130395</v>
      </c>
      <c r="AO162" s="21"/>
      <c r="AP162" s="15">
        <v>74.812970622429418</v>
      </c>
      <c r="AQ162" s="15">
        <v>74.812970622429418</v>
      </c>
      <c r="AR162" s="15">
        <v>-60.457618211552891</v>
      </c>
      <c r="AS162" s="15">
        <v>0</v>
      </c>
      <c r="AT162" s="15">
        <v>5.3084369408344982E-2</v>
      </c>
      <c r="AU162" s="15">
        <v>-5.3084369408344982E-2</v>
      </c>
      <c r="AV162" s="15">
        <v>-1.8282992887183924</v>
      </c>
      <c r="AW162" s="15">
        <v>-1.8813836581267374</v>
      </c>
      <c r="AX162" s="15">
        <v>28.439614000359896</v>
      </c>
      <c r="AY162" s="15">
        <v>208.43961400035988</v>
      </c>
      <c r="AZ162" s="15">
        <v>-71.522618211552896</v>
      </c>
      <c r="BA162" s="21">
        <v>0.52010147664722584</v>
      </c>
      <c r="BB162" s="21">
        <v>-2.3040805044323633</v>
      </c>
      <c r="BC162" s="24" t="s">
        <v>183</v>
      </c>
      <c r="BD162" s="21">
        <v>208.43961400035988</v>
      </c>
      <c r="BE162" s="21">
        <v>-2.3040805044323633</v>
      </c>
      <c r="BF162" s="19"/>
      <c r="BG162" s="19"/>
      <c r="BH162" s="15"/>
      <c r="BI162" s="19"/>
      <c r="BJ162" s="15"/>
      <c r="BK162" s="19"/>
      <c r="BL162" s="15"/>
      <c r="BM162" s="19"/>
      <c r="BN162" s="19"/>
      <c r="BO162" s="19"/>
      <c r="BP162" s="19"/>
      <c r="BQ162" s="19"/>
      <c r="BR162" s="19"/>
      <c r="BS162" s="19"/>
      <c r="BT162" s="2"/>
      <c r="BU162" s="19"/>
      <c r="BV162" s="19"/>
      <c r="BW162" s="19"/>
      <c r="BX162" s="19"/>
      <c r="BY162" s="19"/>
      <c r="BZ162" s="2"/>
      <c r="CA162" s="19"/>
      <c r="CB162" s="19"/>
      <c r="CC162" s="19"/>
      <c r="CD162" s="19"/>
      <c r="CE162" s="19"/>
      <c r="CF162" s="15"/>
      <c r="CG162" s="15"/>
      <c r="CH162" s="21"/>
      <c r="CI162" s="15"/>
      <c r="CJ162" s="15"/>
      <c r="CK162" s="15"/>
      <c r="CL162" s="15"/>
      <c r="CM162" s="10"/>
      <c r="CN162" s="10"/>
      <c r="CO162" s="10"/>
      <c r="CP162" s="9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5"/>
      <c r="DL162" s="15"/>
      <c r="DM162" s="15"/>
      <c r="DN162" s="15"/>
      <c r="DO162" s="15"/>
      <c r="DP162" s="15"/>
      <c r="DQ162" s="15"/>
      <c r="DR162" s="15"/>
      <c r="DS162" s="15"/>
      <c r="DT162" s="15"/>
      <c r="DU162" s="15"/>
      <c r="DV162" s="15"/>
      <c r="DW162" s="15"/>
      <c r="DX162" s="15"/>
      <c r="DY162" s="15"/>
      <c r="DZ162" s="15"/>
      <c r="EA162" s="15"/>
      <c r="EB162" s="15"/>
      <c r="EC162" s="15"/>
      <c r="ED162" s="15"/>
      <c r="EE162" s="15"/>
      <c r="EF162" s="15"/>
      <c r="EG162" s="15"/>
      <c r="EH162" s="15"/>
      <c r="EI162" s="15"/>
      <c r="EJ162" s="15"/>
      <c r="EK162" s="15"/>
      <c r="EL162" s="15"/>
      <c r="EM162" s="15"/>
      <c r="EN162" s="15"/>
      <c r="EO162" s="15"/>
      <c r="EP162" s="15"/>
      <c r="EQ162" s="15"/>
      <c r="ER162" s="15"/>
      <c r="ES162" s="15"/>
      <c r="ET162" s="15"/>
      <c r="EU162" s="15"/>
      <c r="EV162" s="15"/>
      <c r="EW162" s="15"/>
      <c r="EX162" s="15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</row>
    <row r="163" spans="1:228" ht="15" hidden="1">
      <c r="A163" s="85"/>
      <c r="B163" s="85"/>
      <c r="C163" s="85"/>
      <c r="D163" s="205"/>
      <c r="E163" s="205"/>
      <c r="F163" s="205"/>
      <c r="G163" s="205"/>
      <c r="H163" s="205"/>
      <c r="I163" s="205"/>
      <c r="J163" s="85"/>
      <c r="K163" s="85"/>
      <c r="L163" s="206"/>
      <c r="M163" s="85"/>
      <c r="N163" s="201"/>
      <c r="O163" s="202" t="s">
        <v>184</v>
      </c>
      <c r="P163" s="201">
        <v>0</v>
      </c>
      <c r="Q163" s="201"/>
      <c r="R163" s="201"/>
      <c r="S163" s="201"/>
      <c r="T163" s="201"/>
      <c r="U163" s="15"/>
      <c r="V163" s="15"/>
      <c r="W163" s="15"/>
      <c r="X163" s="15"/>
      <c r="Y163" s="15">
        <v>253.91818430094048</v>
      </c>
      <c r="Z163" s="15">
        <v>106.08181569905952</v>
      </c>
      <c r="AA163" s="15">
        <v>23.552828104849791</v>
      </c>
      <c r="AB163" s="15">
        <v>1</v>
      </c>
      <c r="AC163" s="15">
        <v>5.6377656879082555E-2</v>
      </c>
      <c r="AD163" s="15">
        <v>5.6377656879082555E-2</v>
      </c>
      <c r="AE163" s="15">
        <v>0.45366227069720827</v>
      </c>
      <c r="AF163" s="15">
        <v>0.5100399275762908</v>
      </c>
      <c r="AG163" s="15">
        <v>63.409362617023227</v>
      </c>
      <c r="AH163" s="15">
        <v>63.409362617023227</v>
      </c>
      <c r="AI163" s="15">
        <v>12.487828104849791</v>
      </c>
      <c r="AJ163" s="21">
        <v>0.58626042280318535</v>
      </c>
      <c r="AK163" s="21">
        <v>-9.934418808485276</v>
      </c>
      <c r="AL163" s="24" t="s">
        <v>184</v>
      </c>
      <c r="AM163" s="21">
        <v>63.409362617023227</v>
      </c>
      <c r="AN163" s="21">
        <v>-9.934418808485276</v>
      </c>
      <c r="AO163" s="21"/>
      <c r="AP163" s="15">
        <v>253.92236237549506</v>
      </c>
      <c r="AQ163" s="15">
        <v>106.07763762450494</v>
      </c>
      <c r="AR163" s="15">
        <v>23.552828104849791</v>
      </c>
      <c r="AS163" s="15">
        <v>1</v>
      </c>
      <c r="AT163" s="15">
        <v>5.6362211693903722E-2</v>
      </c>
      <c r="AU163" s="15">
        <v>5.6362211693903722E-2</v>
      </c>
      <c r="AV163" s="15">
        <v>0.45365273496998282</v>
      </c>
      <c r="AW163" s="15">
        <v>0.51001494666388658</v>
      </c>
      <c r="AX163" s="15">
        <v>63.410485880521513</v>
      </c>
      <c r="AY163" s="15">
        <v>63.410485880521513</v>
      </c>
      <c r="AZ163" s="15">
        <v>12.487828104849791</v>
      </c>
      <c r="BA163" s="21">
        <v>0.58622890431156272</v>
      </c>
      <c r="BB163" s="21">
        <v>-9.9307520964630243</v>
      </c>
      <c r="BC163" s="24" t="s">
        <v>184</v>
      </c>
      <c r="BD163" s="21">
        <v>63.410485880521513</v>
      </c>
      <c r="BE163" s="21">
        <v>-9.9307520964630243</v>
      </c>
      <c r="BF163" s="19"/>
      <c r="BG163" s="19"/>
      <c r="BH163" s="15"/>
      <c r="BI163" s="19"/>
      <c r="BJ163" s="15"/>
      <c r="BK163" s="19"/>
      <c r="BL163" s="15"/>
      <c r="BM163" s="19"/>
      <c r="BN163" s="19"/>
      <c r="BO163" s="19"/>
      <c r="BP163" s="19"/>
      <c r="BQ163" s="19"/>
      <c r="BR163" s="19"/>
      <c r="BS163" s="19"/>
      <c r="BT163" s="2"/>
      <c r="BU163" s="19"/>
      <c r="BV163" s="19"/>
      <c r="BW163" s="19"/>
      <c r="BX163" s="19"/>
      <c r="BY163" s="19"/>
      <c r="BZ163" s="2"/>
      <c r="CA163" s="19"/>
      <c r="CB163" s="19"/>
      <c r="CC163" s="19"/>
      <c r="CD163" s="19"/>
      <c r="CE163" s="19"/>
      <c r="CF163" s="15"/>
      <c r="CG163" s="15"/>
      <c r="CH163" s="21"/>
      <c r="CI163" s="15"/>
      <c r="CJ163" s="15"/>
      <c r="CK163" s="15"/>
      <c r="CL163" s="15"/>
      <c r="CM163" s="10"/>
      <c r="CN163" s="10"/>
      <c r="CO163" s="10"/>
      <c r="CP163" s="9"/>
      <c r="CQ163" s="10"/>
      <c r="CR163" s="10"/>
      <c r="CS163" s="10"/>
      <c r="CT163" s="10"/>
      <c r="CU163" s="10"/>
      <c r="CV163" s="10"/>
      <c r="CW163" s="10"/>
      <c r="CX163" s="10"/>
      <c r="CY163" s="10"/>
      <c r="CZ163" s="10"/>
      <c r="DA163" s="10"/>
      <c r="DB163" s="10"/>
      <c r="DC163" s="10"/>
      <c r="DD163" s="10"/>
      <c r="DE163" s="10"/>
      <c r="DF163" s="10"/>
      <c r="DG163" s="10"/>
      <c r="DH163" s="10"/>
      <c r="DI163" s="10"/>
      <c r="DJ163" s="10"/>
      <c r="DK163" s="15"/>
      <c r="DL163" s="15"/>
      <c r="DM163" s="15"/>
      <c r="DN163" s="15"/>
      <c r="DO163" s="15"/>
      <c r="DP163" s="15"/>
      <c r="DQ163" s="15"/>
      <c r="DR163" s="15"/>
      <c r="DS163" s="15"/>
      <c r="DT163" s="15"/>
      <c r="DU163" s="15"/>
      <c r="DV163" s="15"/>
      <c r="DW163" s="15"/>
      <c r="DX163" s="15"/>
      <c r="DY163" s="15"/>
      <c r="DZ163" s="15"/>
      <c r="EA163" s="15"/>
      <c r="EB163" s="15"/>
      <c r="EC163" s="15"/>
      <c r="ED163" s="15"/>
      <c r="EE163" s="15"/>
      <c r="EF163" s="15"/>
      <c r="EG163" s="15"/>
      <c r="EH163" s="15"/>
      <c r="EI163" s="15"/>
      <c r="EJ163" s="15"/>
      <c r="EK163" s="15"/>
      <c r="EL163" s="15"/>
      <c r="EM163" s="15"/>
      <c r="EN163" s="15"/>
      <c r="EO163" s="15"/>
      <c r="EP163" s="15"/>
      <c r="EQ163" s="15"/>
      <c r="ER163" s="15"/>
      <c r="ES163" s="15"/>
      <c r="ET163" s="15"/>
      <c r="EU163" s="15"/>
      <c r="EV163" s="15"/>
      <c r="EW163" s="15"/>
      <c r="EX163" s="15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</row>
    <row r="164" spans="1:228" ht="15" hidden="1">
      <c r="A164" s="85"/>
      <c r="B164" s="85"/>
      <c r="C164" s="85"/>
      <c r="D164" s="205"/>
      <c r="E164" s="205"/>
      <c r="F164" s="205"/>
      <c r="G164" s="205"/>
      <c r="H164" s="205"/>
      <c r="I164" s="205"/>
      <c r="J164" s="85"/>
      <c r="K164" s="85"/>
      <c r="L164" s="206"/>
      <c r="M164" s="85"/>
      <c r="N164" s="201"/>
      <c r="O164" s="202" t="s">
        <v>242</v>
      </c>
      <c r="P164" s="201">
        <v>1</v>
      </c>
      <c r="Q164" s="201">
        <v>125.61740484341556</v>
      </c>
      <c r="R164" s="201">
        <v>125.62158034039328</v>
      </c>
      <c r="S164" s="201">
        <v>143.79159175788232</v>
      </c>
      <c r="T164" s="201">
        <v>-19.164000396260899</v>
      </c>
      <c r="U164" s="15">
        <v>-19.164000964812566</v>
      </c>
      <c r="V164" s="15">
        <v>-19.16647483909129</v>
      </c>
      <c r="W164" s="15"/>
      <c r="X164" s="15"/>
      <c r="Y164" s="15">
        <v>49.450738176748885</v>
      </c>
      <c r="Z164" s="15">
        <v>49.450738176748885</v>
      </c>
      <c r="AA164" s="15">
        <v>-19.164000396260899</v>
      </c>
      <c r="AB164" s="15">
        <v>0</v>
      </c>
      <c r="AC164" s="15">
        <v>0.16731322209833732</v>
      </c>
      <c r="AD164" s="15">
        <v>-0.16731322209833732</v>
      </c>
      <c r="AE164" s="15">
        <v>-0.45737148908106623</v>
      </c>
      <c r="AF164" s="15">
        <v>-0.62468471117940361</v>
      </c>
      <c r="AG164" s="15">
        <v>58.48870953338038</v>
      </c>
      <c r="AH164" s="15">
        <v>238.48870953338039</v>
      </c>
      <c r="AI164" s="15">
        <v>-30.229000396260901</v>
      </c>
      <c r="AJ164" s="21">
        <v>0.23017191093196404</v>
      </c>
      <c r="AK164" s="21">
        <v>32.660236469980958</v>
      </c>
      <c r="AL164" s="24" t="s">
        <v>242</v>
      </c>
      <c r="AM164" s="21">
        <v>238.48870953338039</v>
      </c>
      <c r="AN164" s="21">
        <v>32.660236469980958</v>
      </c>
      <c r="AO164" s="21"/>
      <c r="AP164" s="15">
        <v>49.454913673726608</v>
      </c>
      <c r="AQ164" s="15">
        <v>49.454913673726608</v>
      </c>
      <c r="AR164" s="15">
        <v>-19.164000964812566</v>
      </c>
      <c r="AS164" s="15">
        <v>0</v>
      </c>
      <c r="AT164" s="15">
        <v>0.16728854005144903</v>
      </c>
      <c r="AU164" s="15">
        <v>-0.16728854005144903</v>
      </c>
      <c r="AV164" s="15">
        <v>-0.45734298933502276</v>
      </c>
      <c r="AW164" s="15">
        <v>-0.62463152938647182</v>
      </c>
      <c r="AX164" s="15">
        <v>58.490883099655527</v>
      </c>
      <c r="AY164" s="15">
        <v>238.49088309965552</v>
      </c>
      <c r="AZ164" s="15">
        <v>-30.229000964812563</v>
      </c>
      <c r="BA164" s="21">
        <v>0.23019758051209988</v>
      </c>
      <c r="BB164" s="21">
        <v>32.656742574800987</v>
      </c>
      <c r="BC164" s="24" t="s">
        <v>242</v>
      </c>
      <c r="BD164" s="21">
        <v>238.49088309965552</v>
      </c>
      <c r="BE164" s="21">
        <v>32.656742574800987</v>
      </c>
      <c r="BF164" s="19"/>
      <c r="BG164" s="19">
        <v>144.12822400712707</v>
      </c>
      <c r="BH164" s="15">
        <v>-19.166520667843006</v>
      </c>
      <c r="BI164" s="19">
        <v>144.1344586247011</v>
      </c>
      <c r="BJ164" s="15">
        <v>-19.166521516615699</v>
      </c>
      <c r="BK164" s="19">
        <v>144.13457409281966</v>
      </c>
      <c r="BL164" s="15">
        <v>-19.166521532335384</v>
      </c>
      <c r="BM164" s="19"/>
      <c r="BN164" s="19"/>
      <c r="BO164" s="19"/>
      <c r="BP164" s="19"/>
      <c r="BQ164" s="19"/>
      <c r="BR164" s="19"/>
      <c r="BS164" s="19"/>
      <c r="BT164" s="2"/>
      <c r="BU164" s="19"/>
      <c r="BV164" s="19"/>
      <c r="BW164" s="19"/>
      <c r="BX164" s="19"/>
      <c r="BY164" s="19"/>
      <c r="BZ164" s="2"/>
      <c r="CA164" s="19"/>
      <c r="CB164" s="19"/>
      <c r="CC164" s="19"/>
      <c r="CD164" s="19"/>
      <c r="CE164" s="19"/>
      <c r="CF164" s="15"/>
      <c r="CG164" s="15"/>
      <c r="CH164" s="21"/>
      <c r="CI164" s="15"/>
      <c r="CJ164" s="15"/>
      <c r="CK164" s="15"/>
      <c r="CL164" s="15"/>
      <c r="CM164" s="10"/>
      <c r="CN164" s="10"/>
      <c r="CO164" s="10"/>
      <c r="CP164" s="9"/>
      <c r="CQ164" s="10"/>
      <c r="CR164" s="10"/>
      <c r="CS164" s="10"/>
      <c r="CT164" s="10"/>
      <c r="CU164" s="10"/>
      <c r="CV164" s="10"/>
      <c r="CW164" s="10"/>
      <c r="CX164" s="10"/>
      <c r="CY164" s="10"/>
      <c r="CZ164" s="10"/>
      <c r="DA164" s="10"/>
      <c r="DB164" s="10"/>
      <c r="DC164" s="10"/>
      <c r="DD164" s="10"/>
      <c r="DE164" s="10"/>
      <c r="DF164" s="10"/>
      <c r="DG164" s="10"/>
      <c r="DH164" s="10"/>
      <c r="DI164" s="10"/>
      <c r="DJ164" s="10"/>
      <c r="DK164" s="15"/>
      <c r="DL164" s="15"/>
      <c r="DM164" s="15"/>
      <c r="DN164" s="15"/>
      <c r="DO164" s="15"/>
      <c r="DP164" s="15"/>
      <c r="DQ164" s="15"/>
      <c r="DR164" s="15"/>
      <c r="DS164" s="15"/>
      <c r="DT164" s="15"/>
      <c r="DU164" s="15"/>
      <c r="DV164" s="15"/>
      <c r="DW164" s="15"/>
      <c r="DX164" s="15"/>
      <c r="DY164" s="15"/>
      <c r="DZ164" s="15"/>
      <c r="EA164" s="15"/>
      <c r="EB164" s="15"/>
      <c r="EC164" s="15"/>
      <c r="ED164" s="15"/>
      <c r="EE164" s="15"/>
      <c r="EF164" s="15"/>
      <c r="EG164" s="15"/>
      <c r="EH164" s="15"/>
      <c r="EI164" s="15"/>
      <c r="EJ164" s="15"/>
      <c r="EK164" s="15"/>
      <c r="EL164" s="15"/>
      <c r="EM164" s="15"/>
      <c r="EN164" s="15"/>
      <c r="EO164" s="15"/>
      <c r="EP164" s="15"/>
      <c r="EQ164" s="15"/>
      <c r="ER164" s="15"/>
      <c r="ES164" s="15"/>
      <c r="ET164" s="15"/>
      <c r="EU164" s="15"/>
      <c r="EV164" s="15"/>
      <c r="EW164" s="15"/>
      <c r="EX164" s="15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</row>
    <row r="165" spans="1:228" ht="15" hidden="1">
      <c r="A165" s="85"/>
      <c r="B165" s="85"/>
      <c r="C165" s="85"/>
      <c r="D165" s="205"/>
      <c r="E165" s="205"/>
      <c r="F165" s="205"/>
      <c r="G165" s="205"/>
      <c r="H165" s="205"/>
      <c r="I165" s="205"/>
      <c r="J165" s="85"/>
      <c r="K165" s="85"/>
      <c r="L165" s="206"/>
      <c r="M165" s="85"/>
      <c r="N165" s="201"/>
      <c r="O165" s="202" t="s">
        <v>185</v>
      </c>
      <c r="P165" s="201">
        <v>0</v>
      </c>
      <c r="Q165" s="201"/>
      <c r="R165" s="201"/>
      <c r="S165" s="201"/>
      <c r="T165" s="201"/>
      <c r="U165" s="15"/>
      <c r="V165" s="15"/>
      <c r="W165" s="15"/>
      <c r="X165" s="15"/>
      <c r="Y165" s="15">
        <v>9.7039662019760726</v>
      </c>
      <c r="Z165" s="15">
        <v>9.7039662019760726</v>
      </c>
      <c r="AA165" s="15">
        <v>-34.37299723823633</v>
      </c>
      <c r="AB165" s="15">
        <v>0</v>
      </c>
      <c r="AC165" s="15">
        <v>1.1435841641253375</v>
      </c>
      <c r="AD165" s="15">
        <v>-1.1435841641253375</v>
      </c>
      <c r="AE165" s="15">
        <v>-4.0580918293645736</v>
      </c>
      <c r="AF165" s="15">
        <v>-5.2016759934899106</v>
      </c>
      <c r="AG165" s="15">
        <v>11.083174711931456</v>
      </c>
      <c r="AH165" s="15">
        <v>191.08317471193146</v>
      </c>
      <c r="AI165" s="15">
        <v>-45.437997238236328</v>
      </c>
      <c r="AJ165" s="21">
        <v>0.15495472700793098</v>
      </c>
      <c r="AK165" s="21">
        <v>43.637276794059233</v>
      </c>
      <c r="AL165" s="24" t="s">
        <v>185</v>
      </c>
      <c r="AM165" s="21">
        <v>191.08317471193146</v>
      </c>
      <c r="AN165" s="21">
        <v>43.637276794059233</v>
      </c>
      <c r="AO165" s="21"/>
      <c r="AP165" s="15">
        <v>62.951962958206025</v>
      </c>
      <c r="AQ165" s="15">
        <v>62.951962958206025</v>
      </c>
      <c r="AR165" s="15">
        <v>-34.37299723823633</v>
      </c>
      <c r="AS165" s="15">
        <v>0</v>
      </c>
      <c r="AT165" s="15">
        <v>9.9848336405260765E-2</v>
      </c>
      <c r="AU165" s="15">
        <v>-9.9848336405260765E-2</v>
      </c>
      <c r="AV165" s="15">
        <v>-0.76802450323744109</v>
      </c>
      <c r="AW165" s="15">
        <v>-0.8678728396427019</v>
      </c>
      <c r="AX165" s="15">
        <v>49.577663172062792</v>
      </c>
      <c r="AY165" s="15">
        <v>229.57766317206278</v>
      </c>
      <c r="AZ165" s="15">
        <v>-45.437997238236328</v>
      </c>
      <c r="BA165" s="21">
        <v>0.37000081383589245</v>
      </c>
      <c r="BB165" s="21">
        <v>15.069965564658531</v>
      </c>
      <c r="BC165" s="24" t="s">
        <v>185</v>
      </c>
      <c r="BD165" s="21">
        <v>229.57766317206278</v>
      </c>
      <c r="BE165" s="21">
        <v>15.069965564658531</v>
      </c>
      <c r="BF165" s="19"/>
      <c r="BG165" s="19"/>
      <c r="BH165" s="15"/>
      <c r="BI165" s="19"/>
      <c r="BJ165" s="15"/>
      <c r="BK165" s="19"/>
      <c r="BL165" s="15"/>
      <c r="BM165" s="19"/>
      <c r="BN165" s="19"/>
      <c r="BO165" s="19"/>
      <c r="BP165" s="19"/>
      <c r="BQ165" s="19"/>
      <c r="BR165" s="19"/>
      <c r="BS165" s="19"/>
      <c r="BT165" s="2"/>
      <c r="BU165" s="19"/>
      <c r="BV165" s="19"/>
      <c r="BW165" s="19"/>
      <c r="BX165" s="19"/>
      <c r="BY165" s="19"/>
      <c r="BZ165" s="2"/>
      <c r="CA165" s="19"/>
      <c r="CB165" s="19"/>
      <c r="CC165" s="19"/>
      <c r="CD165" s="19"/>
      <c r="CE165" s="19"/>
      <c r="CF165" s="15"/>
      <c r="CG165" s="15"/>
      <c r="CH165" s="21"/>
      <c r="CI165" s="15"/>
      <c r="CJ165" s="15"/>
      <c r="CK165" s="15"/>
      <c r="CL165" s="15"/>
      <c r="CM165" s="10"/>
      <c r="CN165" s="10"/>
      <c r="CO165" s="10"/>
      <c r="CP165" s="9"/>
      <c r="CQ165" s="10"/>
      <c r="CR165" s="10"/>
      <c r="CS165" s="10"/>
      <c r="CT165" s="10"/>
      <c r="CU165" s="10"/>
      <c r="CV165" s="10"/>
      <c r="CW165" s="10"/>
      <c r="CX165" s="10"/>
      <c r="CY165" s="10"/>
      <c r="CZ165" s="10"/>
      <c r="DA165" s="10"/>
      <c r="DB165" s="10"/>
      <c r="DC165" s="10"/>
      <c r="DD165" s="10"/>
      <c r="DE165" s="10"/>
      <c r="DF165" s="10"/>
      <c r="DG165" s="10"/>
      <c r="DH165" s="10"/>
      <c r="DI165" s="10"/>
      <c r="DJ165" s="10"/>
      <c r="DK165" s="15"/>
      <c r="DL165" s="15"/>
      <c r="DM165" s="15"/>
      <c r="DN165" s="15"/>
      <c r="DO165" s="15"/>
      <c r="DP165" s="15"/>
      <c r="DQ165" s="15"/>
      <c r="DR165" s="15"/>
      <c r="DS165" s="15"/>
      <c r="DT165" s="15"/>
      <c r="DU165" s="15"/>
      <c r="DV165" s="15"/>
      <c r="DW165" s="15"/>
      <c r="DX165" s="15"/>
      <c r="DY165" s="15"/>
      <c r="DZ165" s="15"/>
      <c r="EA165" s="15"/>
      <c r="EB165" s="15"/>
      <c r="EC165" s="15"/>
      <c r="ED165" s="15"/>
      <c r="EE165" s="15"/>
      <c r="EF165" s="15"/>
      <c r="EG165" s="15"/>
      <c r="EH165" s="15"/>
      <c r="EI165" s="15"/>
      <c r="EJ165" s="15"/>
      <c r="EK165" s="15"/>
      <c r="EL165" s="15"/>
      <c r="EM165" s="15"/>
      <c r="EN165" s="15"/>
      <c r="EO165" s="15"/>
      <c r="EP165" s="15"/>
      <c r="EQ165" s="15"/>
      <c r="ER165" s="15"/>
      <c r="ES165" s="15"/>
      <c r="ET165" s="15"/>
      <c r="EU165" s="15"/>
      <c r="EV165" s="15"/>
      <c r="EW165" s="15"/>
      <c r="EX165" s="15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</row>
    <row r="166" spans="1:228" ht="15" hidden="1">
      <c r="A166" s="85"/>
      <c r="B166" s="85"/>
      <c r="C166" s="85"/>
      <c r="D166" s="205"/>
      <c r="E166" s="205"/>
      <c r="F166" s="205"/>
      <c r="G166" s="205"/>
      <c r="H166" s="205"/>
      <c r="I166" s="205"/>
      <c r="J166" s="85"/>
      <c r="K166" s="85"/>
      <c r="L166" s="206"/>
      <c r="M166" s="85"/>
      <c r="N166" s="201"/>
      <c r="O166" s="202" t="s">
        <v>186</v>
      </c>
      <c r="P166" s="201">
        <v>0</v>
      </c>
      <c r="Q166" s="201"/>
      <c r="R166" s="201"/>
      <c r="S166" s="201"/>
      <c r="T166" s="201"/>
      <c r="U166" s="15"/>
      <c r="V166" s="15"/>
      <c r="W166" s="15"/>
      <c r="X166" s="15"/>
      <c r="Y166" s="15">
        <v>62.947784883651465</v>
      </c>
      <c r="Z166" s="15">
        <v>62.947784883651465</v>
      </c>
      <c r="AA166" s="15">
        <v>74.075236252847461</v>
      </c>
      <c r="AB166" s="15">
        <v>0</v>
      </c>
      <c r="AC166" s="15">
        <v>9.9866314958937122E-2</v>
      </c>
      <c r="AD166" s="15">
        <v>-9.9866314958937122E-2</v>
      </c>
      <c r="AE166" s="15">
        <v>3.9353325387196398</v>
      </c>
      <c r="AF166" s="15">
        <v>3.8354662237607027</v>
      </c>
      <c r="AG166" s="15">
        <v>14.877723844868635</v>
      </c>
      <c r="AH166" s="15">
        <v>345.12227615513137</v>
      </c>
      <c r="AI166" s="15">
        <v>63.010236252847463</v>
      </c>
      <c r="AJ166" s="21">
        <v>0.3464881985139015</v>
      </c>
      <c r="AK166" s="21">
        <v>17.879950211746049</v>
      </c>
      <c r="AL166" s="24" t="s">
        <v>186</v>
      </c>
      <c r="AM166" s="21">
        <v>345.12227615513137</v>
      </c>
      <c r="AN166" s="21">
        <v>17.879950211746049</v>
      </c>
      <c r="AO166" s="21"/>
      <c r="AP166" s="15">
        <v>299.52132282314813</v>
      </c>
      <c r="AQ166" s="15">
        <v>60.478677176851875</v>
      </c>
      <c r="AR166" s="15">
        <v>74.075236252847461</v>
      </c>
      <c r="AS166" s="15">
        <v>0</v>
      </c>
      <c r="AT166" s="15">
        <v>0.11073742881195191</v>
      </c>
      <c r="AU166" s="15">
        <v>-0.11073742881195191</v>
      </c>
      <c r="AV166" s="15">
        <v>4.0276816636572494</v>
      </c>
      <c r="AW166" s="15">
        <v>3.9169442348452974</v>
      </c>
      <c r="AX166" s="15">
        <v>14.58156738686537</v>
      </c>
      <c r="AY166" s="15">
        <v>14.58156738686537</v>
      </c>
      <c r="AZ166" s="15">
        <v>63.010236252847463</v>
      </c>
      <c r="BA166" s="21">
        <v>0.34137937594932771</v>
      </c>
      <c r="BB166" s="21">
        <v>18.4961690425679</v>
      </c>
      <c r="BC166" s="24" t="s">
        <v>186</v>
      </c>
      <c r="BD166" s="21">
        <v>14.58156738686537</v>
      </c>
      <c r="BE166" s="21">
        <v>18.4961690425679</v>
      </c>
      <c r="BF166" s="19"/>
      <c r="BG166" s="19"/>
      <c r="BH166" s="15"/>
      <c r="BI166" s="19"/>
      <c r="BJ166" s="15"/>
      <c r="BK166" s="19"/>
      <c r="BL166" s="15"/>
      <c r="BM166" s="19"/>
      <c r="BN166" s="19"/>
      <c r="BO166" s="19"/>
      <c r="BP166" s="19"/>
      <c r="BQ166" s="19"/>
      <c r="BR166" s="19"/>
      <c r="BS166" s="19"/>
      <c r="BT166" s="2"/>
      <c r="BU166" s="19"/>
      <c r="BV166" s="19"/>
      <c r="BW166" s="19"/>
      <c r="BX166" s="19"/>
      <c r="BY166" s="19"/>
      <c r="BZ166" s="2"/>
      <c r="CA166" s="19"/>
      <c r="CB166" s="19"/>
      <c r="CC166" s="19"/>
      <c r="CD166" s="19"/>
      <c r="CE166" s="19"/>
      <c r="CF166" s="15"/>
      <c r="CG166" s="15"/>
      <c r="CH166" s="21"/>
      <c r="CI166" s="15"/>
      <c r="CJ166" s="15"/>
      <c r="CK166" s="15"/>
      <c r="CL166" s="15"/>
      <c r="CM166" s="10"/>
      <c r="CN166" s="10"/>
      <c r="CO166" s="10"/>
      <c r="CP166" s="9"/>
      <c r="CQ166" s="10"/>
      <c r="CR166" s="10"/>
      <c r="CS166" s="10"/>
      <c r="CT166" s="10"/>
      <c r="CU166" s="10"/>
      <c r="CV166" s="10"/>
      <c r="CW166" s="10"/>
      <c r="CX166" s="10"/>
      <c r="CY166" s="10"/>
      <c r="CZ166" s="10"/>
      <c r="DA166" s="10"/>
      <c r="DB166" s="10"/>
      <c r="DC166" s="10"/>
      <c r="DD166" s="10"/>
      <c r="DE166" s="10"/>
      <c r="DF166" s="10"/>
      <c r="DG166" s="10"/>
      <c r="DH166" s="10"/>
      <c r="DI166" s="10"/>
      <c r="DJ166" s="10"/>
      <c r="DK166" s="15"/>
      <c r="DL166" s="15"/>
      <c r="DM166" s="15"/>
      <c r="DN166" s="15"/>
      <c r="DO166" s="15"/>
      <c r="DP166" s="15"/>
      <c r="DQ166" s="15"/>
      <c r="DR166" s="15"/>
      <c r="DS166" s="15"/>
      <c r="DT166" s="15"/>
      <c r="DU166" s="15"/>
      <c r="DV166" s="15"/>
      <c r="DW166" s="15"/>
      <c r="DX166" s="15"/>
      <c r="DY166" s="15"/>
      <c r="DZ166" s="15"/>
      <c r="EA166" s="15"/>
      <c r="EB166" s="15"/>
      <c r="EC166" s="15"/>
      <c r="ED166" s="15"/>
      <c r="EE166" s="15"/>
      <c r="EF166" s="15"/>
      <c r="EG166" s="15"/>
      <c r="EH166" s="15"/>
      <c r="EI166" s="15"/>
      <c r="EJ166" s="15"/>
      <c r="EK166" s="15"/>
      <c r="EL166" s="15"/>
      <c r="EM166" s="15"/>
      <c r="EN166" s="15"/>
      <c r="EO166" s="15"/>
      <c r="EP166" s="15"/>
      <c r="EQ166" s="15"/>
      <c r="ER166" s="15"/>
      <c r="ES166" s="15"/>
      <c r="ET166" s="15"/>
      <c r="EU166" s="15"/>
      <c r="EV166" s="15"/>
      <c r="EW166" s="15"/>
      <c r="EX166" s="15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</row>
    <row r="167" spans="1:228" ht="15" hidden="1">
      <c r="A167" s="85"/>
      <c r="B167" s="85"/>
      <c r="C167" s="85"/>
      <c r="D167" s="205"/>
      <c r="E167" s="205"/>
      <c r="F167" s="205"/>
      <c r="G167" s="205"/>
      <c r="H167" s="205"/>
      <c r="I167" s="205"/>
      <c r="J167" s="85"/>
      <c r="K167" s="85"/>
      <c r="L167" s="206"/>
      <c r="M167" s="85"/>
      <c r="N167" s="201"/>
      <c r="O167" s="202" t="s">
        <v>187</v>
      </c>
      <c r="P167" s="201">
        <v>0</v>
      </c>
      <c r="Q167" s="201"/>
      <c r="R167" s="201"/>
      <c r="S167" s="201"/>
      <c r="T167" s="201"/>
      <c r="U167" s="15"/>
      <c r="V167" s="15"/>
      <c r="W167" s="15"/>
      <c r="X167" s="15"/>
      <c r="Y167" s="15">
        <v>299.51714474859358</v>
      </c>
      <c r="Z167" s="15">
        <v>60.48285525140642</v>
      </c>
      <c r="AA167" s="15">
        <v>15.30643212778913</v>
      </c>
      <c r="AB167" s="15">
        <v>0</v>
      </c>
      <c r="AC167" s="15">
        <v>0.11071859664076246</v>
      </c>
      <c r="AD167" s="15">
        <v>-0.11071859664076246</v>
      </c>
      <c r="AE167" s="15">
        <v>0.31451056922423143</v>
      </c>
      <c r="AF167" s="15">
        <v>0.20379197258346898</v>
      </c>
      <c r="AG167" s="15">
        <v>78.68987485177432</v>
      </c>
      <c r="AH167" s="15">
        <v>78.68987485177432</v>
      </c>
      <c r="AI167" s="15">
        <v>4.24143212778913</v>
      </c>
      <c r="AJ167" s="21">
        <v>0.24148136120758279</v>
      </c>
      <c r="AK167" s="21">
        <v>31.133726934337588</v>
      </c>
      <c r="AL167" s="24" t="s">
        <v>187</v>
      </c>
      <c r="AM167" s="21">
        <v>78.68987485177432</v>
      </c>
      <c r="AN167" s="21">
        <v>31.133726934337588</v>
      </c>
      <c r="AO167" s="21"/>
      <c r="AP167" s="15">
        <v>240.14365392744114</v>
      </c>
      <c r="AQ167" s="15">
        <v>119.85634607255886</v>
      </c>
      <c r="AR167" s="15">
        <v>15.30643212778913</v>
      </c>
      <c r="AS167" s="15">
        <v>1</v>
      </c>
      <c r="AT167" s="15">
        <v>0.11225260252826283</v>
      </c>
      <c r="AU167" s="15">
        <v>0.11225260252826283</v>
      </c>
      <c r="AV167" s="15">
        <v>0.31557383854705934</v>
      </c>
      <c r="AW167" s="15">
        <v>0.42782644107532219</v>
      </c>
      <c r="AX167" s="15">
        <v>67.223771024689938</v>
      </c>
      <c r="AY167" s="15">
        <v>67.223771024689938</v>
      </c>
      <c r="AZ167" s="15">
        <v>4.24143212778913</v>
      </c>
      <c r="BA167" s="21">
        <v>0.71028891805781291</v>
      </c>
      <c r="BB167" s="21">
        <v>-24.871074071287637</v>
      </c>
      <c r="BC167" s="24" t="s">
        <v>187</v>
      </c>
      <c r="BD167" s="21">
        <v>67.223771024689938</v>
      </c>
      <c r="BE167" s="21">
        <v>-24.871074071287637</v>
      </c>
      <c r="BF167" s="19"/>
      <c r="BG167" s="19"/>
      <c r="BH167" s="15"/>
      <c r="BI167" s="19"/>
      <c r="BJ167" s="15"/>
      <c r="BK167" s="19"/>
      <c r="BL167" s="15"/>
      <c r="BM167" s="19"/>
      <c r="BN167" s="19"/>
      <c r="BO167" s="19"/>
      <c r="BP167" s="19"/>
      <c r="BQ167" s="19"/>
      <c r="BR167" s="19"/>
      <c r="BS167" s="19"/>
      <c r="BT167" s="2"/>
      <c r="BU167" s="19"/>
      <c r="BV167" s="19"/>
      <c r="BW167" s="19"/>
      <c r="BX167" s="19"/>
      <c r="BY167" s="19"/>
      <c r="BZ167" s="2"/>
      <c r="CA167" s="19"/>
      <c r="CB167" s="19"/>
      <c r="CC167" s="19"/>
      <c r="CD167" s="19"/>
      <c r="CE167" s="19"/>
      <c r="CF167" s="15"/>
      <c r="CG167" s="15"/>
      <c r="CH167" s="21"/>
      <c r="CI167" s="15"/>
      <c r="CJ167" s="15"/>
      <c r="CK167" s="15"/>
      <c r="CL167" s="15"/>
      <c r="CM167" s="10"/>
      <c r="CN167" s="10"/>
      <c r="CO167" s="10"/>
      <c r="CP167" s="9"/>
      <c r="CQ167" s="10"/>
      <c r="CR167" s="10"/>
      <c r="CS167" s="10"/>
      <c r="CT167" s="10"/>
      <c r="CU167" s="10"/>
      <c r="CV167" s="10"/>
      <c r="CW167" s="10"/>
      <c r="CX167" s="10"/>
      <c r="CY167" s="10"/>
      <c r="CZ167" s="10"/>
      <c r="DA167" s="10"/>
      <c r="DB167" s="10"/>
      <c r="DC167" s="10"/>
      <c r="DD167" s="10"/>
      <c r="DE167" s="10"/>
      <c r="DF167" s="10"/>
      <c r="DG167" s="10"/>
      <c r="DH167" s="10"/>
      <c r="DI167" s="10"/>
      <c r="DJ167" s="10"/>
      <c r="DK167" s="15"/>
      <c r="DL167" s="15"/>
      <c r="DM167" s="15"/>
      <c r="DN167" s="15"/>
      <c r="DO167" s="15"/>
      <c r="DP167" s="15"/>
      <c r="DQ167" s="15"/>
      <c r="DR167" s="15"/>
      <c r="DS167" s="15"/>
      <c r="DT167" s="15"/>
      <c r="DU167" s="15"/>
      <c r="DV167" s="15"/>
      <c r="DW167" s="15"/>
      <c r="DX167" s="15"/>
      <c r="DY167" s="15"/>
      <c r="DZ167" s="15"/>
      <c r="EA167" s="15"/>
      <c r="EB167" s="15"/>
      <c r="EC167" s="15"/>
      <c r="ED167" s="15"/>
      <c r="EE167" s="15"/>
      <c r="EF167" s="15"/>
      <c r="EG167" s="15"/>
      <c r="EH167" s="15"/>
      <c r="EI167" s="15"/>
      <c r="EJ167" s="15"/>
      <c r="EK167" s="15"/>
      <c r="EL167" s="15"/>
      <c r="EM167" s="15"/>
      <c r="EN167" s="15"/>
      <c r="EO167" s="15"/>
      <c r="EP167" s="15"/>
      <c r="EQ167" s="15"/>
      <c r="ER167" s="15"/>
      <c r="ES167" s="15"/>
      <c r="ET167" s="15"/>
      <c r="EU167" s="15"/>
      <c r="EV167" s="15"/>
      <c r="EW167" s="15"/>
      <c r="EX167" s="15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</row>
    <row r="168" spans="1:228" ht="15" hidden="1">
      <c r="A168" s="85"/>
      <c r="B168" s="85"/>
      <c r="C168" s="85"/>
      <c r="D168" s="205"/>
      <c r="E168" s="205"/>
      <c r="F168" s="205"/>
      <c r="G168" s="205"/>
      <c r="H168" s="205"/>
      <c r="I168" s="205"/>
      <c r="J168" s="85"/>
      <c r="K168" s="85"/>
      <c r="L168" s="206"/>
      <c r="M168" s="85"/>
      <c r="N168" s="201"/>
      <c r="O168" s="202" t="s">
        <v>234</v>
      </c>
      <c r="P168" s="201">
        <v>1</v>
      </c>
      <c r="Q168" s="201">
        <v>37.313893718065628</v>
      </c>
      <c r="R168" s="201">
        <v>37.318065457716045</v>
      </c>
      <c r="S168" s="201">
        <v>55.47172425742508</v>
      </c>
      <c r="T168" s="201">
        <v>-16.420816774331573</v>
      </c>
      <c r="U168" s="15">
        <v>-16.420814145144746</v>
      </c>
      <c r="V168" s="15">
        <v>-16.409370501796442</v>
      </c>
      <c r="W168" s="15"/>
      <c r="X168" s="15"/>
      <c r="Y168" s="15">
        <v>321.14722705139894</v>
      </c>
      <c r="Z168" s="15">
        <v>38.852772948601057</v>
      </c>
      <c r="AA168" s="15">
        <v>-16.420816774331573</v>
      </c>
      <c r="AB168" s="15">
        <v>0</v>
      </c>
      <c r="AC168" s="15">
        <v>0.24276674388255393</v>
      </c>
      <c r="AD168" s="15">
        <v>-0.24276674388255393</v>
      </c>
      <c r="AE168" s="15">
        <v>-0.46979244991785946</v>
      </c>
      <c r="AF168" s="15">
        <v>-0.71255919380041344</v>
      </c>
      <c r="AG168" s="15">
        <v>55.034414394363807</v>
      </c>
      <c r="AH168" s="15">
        <v>124.96558560563619</v>
      </c>
      <c r="AI168" s="15">
        <v>-27.485816774331575</v>
      </c>
      <c r="AJ168" s="21">
        <v>0.1605726326661934</v>
      </c>
      <c r="AK168" s="21">
        <v>42.75421266493084</v>
      </c>
      <c r="AL168" s="24" t="s">
        <v>234</v>
      </c>
      <c r="AM168" s="21">
        <v>124.96558560563619</v>
      </c>
      <c r="AN168" s="21">
        <v>42.75421266493084</v>
      </c>
      <c r="AO168" s="21"/>
      <c r="AP168" s="15">
        <v>321.15139879104936</v>
      </c>
      <c r="AQ168" s="15">
        <v>38.84860120895064</v>
      </c>
      <c r="AR168" s="15">
        <v>-16.420814145144746</v>
      </c>
      <c r="AS168" s="15">
        <v>0</v>
      </c>
      <c r="AT168" s="15">
        <v>0.24280292891994823</v>
      </c>
      <c r="AU168" s="15">
        <v>-0.24280292891994823</v>
      </c>
      <c r="AV168" s="15">
        <v>-0.46983483885967436</v>
      </c>
      <c r="AW168" s="15">
        <v>-0.71263776777962262</v>
      </c>
      <c r="AX168" s="15">
        <v>55.031447307358711</v>
      </c>
      <c r="AY168" s="15">
        <v>124.96855269264128</v>
      </c>
      <c r="AZ168" s="15">
        <v>-27.485814145144744</v>
      </c>
      <c r="BA168" s="21">
        <v>0.1605511253968987</v>
      </c>
      <c r="BB168" s="21">
        <v>42.757569208901145</v>
      </c>
      <c r="BC168" s="24" t="s">
        <v>234</v>
      </c>
      <c r="BD168" s="21">
        <v>124.96855269264128</v>
      </c>
      <c r="BE168" s="21">
        <v>42.757569208901145</v>
      </c>
      <c r="BF168" s="19"/>
      <c r="BG168" s="19">
        <v>55.80805350147449</v>
      </c>
      <c r="BH168" s="15">
        <v>-16.409158440036524</v>
      </c>
      <c r="BI168" s="19">
        <v>55.814282507208475</v>
      </c>
      <c r="BJ168" s="15">
        <v>-16.409154512517954</v>
      </c>
      <c r="BK168" s="19">
        <v>55.814397871393112</v>
      </c>
      <c r="BL168" s="15">
        <v>-16.40915443977838</v>
      </c>
      <c r="BM168" s="19"/>
      <c r="BN168" s="19"/>
      <c r="BO168" s="19"/>
      <c r="BP168" s="19"/>
      <c r="BQ168" s="19"/>
      <c r="BR168" s="19"/>
      <c r="BS168" s="19"/>
      <c r="BT168" s="2"/>
      <c r="BU168" s="19"/>
      <c r="BV168" s="19"/>
      <c r="BW168" s="19"/>
      <c r="BX168" s="19"/>
      <c r="BY168" s="19"/>
      <c r="BZ168" s="2"/>
      <c r="CA168" s="19"/>
      <c r="CB168" s="19"/>
      <c r="CC168" s="19"/>
      <c r="CD168" s="19"/>
      <c r="CE168" s="19"/>
      <c r="CF168" s="15"/>
      <c r="CG168" s="15"/>
      <c r="CH168" s="21"/>
      <c r="CI168" s="15"/>
      <c r="CJ168" s="15"/>
      <c r="CK168" s="15"/>
      <c r="CL168" s="15"/>
      <c r="CM168" s="10"/>
      <c r="CN168" s="10"/>
      <c r="CO168" s="10"/>
      <c r="CP168" s="9"/>
      <c r="CQ168" s="10"/>
      <c r="CR168" s="10"/>
      <c r="CS168" s="10"/>
      <c r="CT168" s="10"/>
      <c r="CU168" s="10"/>
      <c r="CV168" s="10"/>
      <c r="CW168" s="10"/>
      <c r="CX168" s="10"/>
      <c r="CY168" s="10"/>
      <c r="CZ168" s="10"/>
      <c r="DA168" s="10"/>
      <c r="DB168" s="10"/>
      <c r="DC168" s="10"/>
      <c r="DD168" s="10"/>
      <c r="DE168" s="10"/>
      <c r="DF168" s="10"/>
      <c r="DG168" s="10"/>
      <c r="DH168" s="10"/>
      <c r="DI168" s="10"/>
      <c r="DJ168" s="10"/>
      <c r="DK168" s="15"/>
      <c r="DL168" s="15"/>
      <c r="DM168" s="15"/>
      <c r="DN168" s="15"/>
      <c r="DO168" s="15"/>
      <c r="DP168" s="15"/>
      <c r="DQ168" s="15"/>
      <c r="DR168" s="15"/>
      <c r="DS168" s="15"/>
      <c r="DT168" s="15"/>
      <c r="DU168" s="15"/>
      <c r="DV168" s="15"/>
      <c r="DW168" s="15"/>
      <c r="DX168" s="15"/>
      <c r="DY168" s="15"/>
      <c r="DZ168" s="15"/>
      <c r="EA168" s="15"/>
      <c r="EB168" s="15"/>
      <c r="EC168" s="15"/>
      <c r="ED168" s="15"/>
      <c r="EE168" s="15"/>
      <c r="EF168" s="15"/>
      <c r="EG168" s="15"/>
      <c r="EH168" s="15"/>
      <c r="EI168" s="15"/>
      <c r="EJ168" s="15"/>
      <c r="EK168" s="15"/>
      <c r="EL168" s="15"/>
      <c r="EM168" s="15"/>
      <c r="EN168" s="15"/>
      <c r="EO168" s="15"/>
      <c r="EP168" s="15"/>
      <c r="EQ168" s="15"/>
      <c r="ER168" s="15"/>
      <c r="ES168" s="15"/>
      <c r="ET168" s="15"/>
      <c r="EU168" s="15"/>
      <c r="EV168" s="15"/>
      <c r="EW168" s="15"/>
      <c r="EX168" s="15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</row>
    <row r="169" spans="1:228" ht="15" hidden="1">
      <c r="A169" s="85"/>
      <c r="B169" s="85"/>
      <c r="C169" s="85"/>
      <c r="D169" s="205"/>
      <c r="E169" s="205"/>
      <c r="F169" s="205"/>
      <c r="G169" s="205"/>
      <c r="H169" s="205"/>
      <c r="I169" s="205"/>
      <c r="J169" s="85"/>
      <c r="K169" s="85"/>
      <c r="L169" s="206"/>
      <c r="M169" s="85"/>
      <c r="N169" s="201"/>
      <c r="O169" s="202" t="s">
        <v>188</v>
      </c>
      <c r="P169" s="201">
        <v>0</v>
      </c>
      <c r="Q169" s="201"/>
      <c r="R169" s="201"/>
      <c r="S169" s="201"/>
      <c r="T169" s="201"/>
      <c r="U169" s="15"/>
      <c r="V169" s="15"/>
      <c r="W169" s="15"/>
      <c r="X169" s="15"/>
      <c r="Y169" s="15">
        <v>240.13947585288656</v>
      </c>
      <c r="Z169" s="15">
        <v>119.86052414711344</v>
      </c>
      <c r="AA169" s="15">
        <v>4.1603213444232878</v>
      </c>
      <c r="AB169" s="15">
        <v>1</v>
      </c>
      <c r="AC169" s="15">
        <v>0.11227156225778927</v>
      </c>
      <c r="AD169" s="15">
        <v>0.11227156225778927</v>
      </c>
      <c r="AE169" s="15">
        <v>8.3874345831764091E-2</v>
      </c>
      <c r="AF169" s="15">
        <v>0.19614590808955334</v>
      </c>
      <c r="AG169" s="15">
        <v>79.103871477473561</v>
      </c>
      <c r="AH169" s="15">
        <v>79.103871477473561</v>
      </c>
      <c r="AI169" s="15">
        <v>-6.9046786555767117</v>
      </c>
      <c r="AJ169" s="21">
        <v>0.73671176591578424</v>
      </c>
      <c r="AK169" s="21">
        <v>-28.256755882628141</v>
      </c>
      <c r="AL169" s="24" t="s">
        <v>188</v>
      </c>
      <c r="AM169" s="21">
        <v>79.103871477473561</v>
      </c>
      <c r="AN169" s="21">
        <v>-28.256755882628141</v>
      </c>
      <c r="AO169" s="21"/>
      <c r="AP169" s="15">
        <v>147.44813360703807</v>
      </c>
      <c r="AQ169" s="15">
        <v>147.44813360703807</v>
      </c>
      <c r="AR169" s="15">
        <v>4.1603213444232878</v>
      </c>
      <c r="AS169" s="15">
        <v>1</v>
      </c>
      <c r="AT169" s="15">
        <v>0.30635207620773147</v>
      </c>
      <c r="AU169" s="15">
        <v>0.30635207620773147</v>
      </c>
      <c r="AV169" s="15">
        <v>0.13518715490369154</v>
      </c>
      <c r="AW169" s="15">
        <v>0.44153923111142301</v>
      </c>
      <c r="AX169" s="15">
        <v>66.571417106537297</v>
      </c>
      <c r="AY169" s="15">
        <v>293.4285828934627</v>
      </c>
      <c r="AZ169" s="15">
        <v>-6.9046786555767117</v>
      </c>
      <c r="BA169" s="21">
        <v>0.90556594450442396</v>
      </c>
      <c r="BB169" s="21">
        <v>-54.20666790042057</v>
      </c>
      <c r="BC169" s="24" t="s">
        <v>188</v>
      </c>
      <c r="BD169" s="21">
        <v>293.4285828934627</v>
      </c>
      <c r="BE169" s="21">
        <v>-54.20666790042057</v>
      </c>
      <c r="BF169" s="19"/>
      <c r="BG169" s="19"/>
      <c r="BH169" s="15"/>
      <c r="BI169" s="19"/>
      <c r="BJ169" s="15"/>
      <c r="BK169" s="19"/>
      <c r="BL169" s="15"/>
      <c r="BM169" s="19"/>
      <c r="BN169" s="19"/>
      <c r="BO169" s="19"/>
      <c r="BP169" s="19"/>
      <c r="BQ169" s="19"/>
      <c r="BR169" s="19"/>
      <c r="BS169" s="19"/>
      <c r="BT169" s="2"/>
      <c r="BU169" s="19"/>
      <c r="BV169" s="19"/>
      <c r="BW169" s="19"/>
      <c r="BX169" s="19"/>
      <c r="BY169" s="19"/>
      <c r="BZ169" s="2"/>
      <c r="CA169" s="19"/>
      <c r="CB169" s="19"/>
      <c r="CC169" s="19"/>
      <c r="CD169" s="19"/>
      <c r="CE169" s="19"/>
      <c r="CF169" s="15"/>
      <c r="CG169" s="15"/>
      <c r="CH169" s="21"/>
      <c r="CI169" s="15"/>
      <c r="CJ169" s="15"/>
      <c r="CK169" s="15"/>
      <c r="CL169" s="15"/>
      <c r="CM169" s="10"/>
      <c r="CN169" s="10"/>
      <c r="CO169" s="10"/>
      <c r="CP169" s="9"/>
      <c r="CQ169" s="10"/>
      <c r="CR169" s="10"/>
      <c r="CS169" s="10"/>
      <c r="CT169" s="10"/>
      <c r="CU169" s="10"/>
      <c r="CV169" s="10"/>
      <c r="CW169" s="10"/>
      <c r="CX169" s="10"/>
      <c r="CY169" s="10"/>
      <c r="CZ169" s="10"/>
      <c r="DA169" s="10"/>
      <c r="DB169" s="10"/>
      <c r="DC169" s="10"/>
      <c r="DD169" s="10"/>
      <c r="DE169" s="10"/>
      <c r="DF169" s="10"/>
      <c r="DG169" s="10"/>
      <c r="DH169" s="10"/>
      <c r="DI169" s="10"/>
      <c r="DJ169" s="10"/>
      <c r="DK169" s="15"/>
      <c r="DL169" s="15"/>
      <c r="DM169" s="15"/>
      <c r="DN169" s="15"/>
      <c r="DO169" s="15"/>
      <c r="DP169" s="15"/>
      <c r="DQ169" s="15"/>
      <c r="DR169" s="15"/>
      <c r="DS169" s="15"/>
      <c r="DT169" s="15"/>
      <c r="DU169" s="15"/>
      <c r="DV169" s="15"/>
      <c r="DW169" s="15"/>
      <c r="DX169" s="15"/>
      <c r="DY169" s="15"/>
      <c r="DZ169" s="15"/>
      <c r="EA169" s="15"/>
      <c r="EB169" s="15"/>
      <c r="EC169" s="15"/>
      <c r="ED169" s="15"/>
      <c r="EE169" s="15"/>
      <c r="EF169" s="15"/>
      <c r="EG169" s="15"/>
      <c r="EH169" s="15"/>
      <c r="EI169" s="15"/>
      <c r="EJ169" s="15"/>
      <c r="EK169" s="15"/>
      <c r="EL169" s="15"/>
      <c r="EM169" s="15"/>
      <c r="EN169" s="15"/>
      <c r="EO169" s="15"/>
      <c r="EP169" s="15"/>
      <c r="EQ169" s="15"/>
      <c r="ER169" s="15"/>
      <c r="ES169" s="15"/>
      <c r="ET169" s="15"/>
      <c r="EU169" s="15"/>
      <c r="EV169" s="15"/>
      <c r="EW169" s="15"/>
      <c r="EX169" s="15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</row>
    <row r="170" spans="1:228" ht="15" hidden="1">
      <c r="A170" s="85"/>
      <c r="B170" s="85"/>
      <c r="C170" s="85"/>
      <c r="D170" s="205"/>
      <c r="E170" s="205"/>
      <c r="F170" s="205"/>
      <c r="G170" s="205"/>
      <c r="H170" s="205"/>
      <c r="I170" s="205"/>
      <c r="J170" s="85"/>
      <c r="K170" s="85"/>
      <c r="L170" s="206"/>
      <c r="M170" s="85"/>
      <c r="N170" s="201"/>
      <c r="O170" s="202" t="s">
        <v>189</v>
      </c>
      <c r="P170" s="201">
        <v>0</v>
      </c>
      <c r="Q170" s="201"/>
      <c r="R170" s="201"/>
      <c r="S170" s="201"/>
      <c r="T170" s="201"/>
      <c r="U170" s="15"/>
      <c r="V170" s="15"/>
      <c r="W170" s="15"/>
      <c r="X170" s="15"/>
      <c r="Y170" s="15">
        <v>74.063990195153181</v>
      </c>
      <c r="Z170" s="15">
        <v>74.063990195153181</v>
      </c>
      <c r="AA170" s="15">
        <v>-36.455268396656244</v>
      </c>
      <c r="AB170" s="15">
        <v>0</v>
      </c>
      <c r="AC170" s="15">
        <v>5.583903550801033E-2</v>
      </c>
      <c r="AD170" s="15">
        <v>-5.583903550801033E-2</v>
      </c>
      <c r="AE170" s="15">
        <v>-0.76827937622061682</v>
      </c>
      <c r="AF170" s="15">
        <v>-0.8241184117286271</v>
      </c>
      <c r="AG170" s="15">
        <v>51.034133071435171</v>
      </c>
      <c r="AH170" s="15">
        <v>231.03413307143518</v>
      </c>
      <c r="AI170" s="15">
        <v>-47.520268396656242</v>
      </c>
      <c r="AJ170" s="21">
        <v>0.44865372959428657</v>
      </c>
      <c r="AK170" s="21">
        <v>5.894240171502318</v>
      </c>
      <c r="AL170" s="24" t="s">
        <v>189</v>
      </c>
      <c r="AM170" s="21">
        <v>231.03413307143518</v>
      </c>
      <c r="AN170" s="21">
        <v>5.894240171502318</v>
      </c>
      <c r="AO170" s="21"/>
      <c r="AP170" s="15">
        <v>234.62616692473475</v>
      </c>
      <c r="AQ170" s="15">
        <v>125.37383307526525</v>
      </c>
      <c r="AR170" s="15">
        <v>-36.455268396656244</v>
      </c>
      <c r="AS170" s="15">
        <v>1</v>
      </c>
      <c r="AT170" s="15">
        <v>0.13884139067062165</v>
      </c>
      <c r="AU170" s="15">
        <v>0.13884139067062165</v>
      </c>
      <c r="AV170" s="15">
        <v>-0.90601004430428689</v>
      </c>
      <c r="AW170" s="15">
        <v>-0.76716865363366527</v>
      </c>
      <c r="AX170" s="15">
        <v>53.023651376116433</v>
      </c>
      <c r="AY170" s="15">
        <v>126.97634862388357</v>
      </c>
      <c r="AZ170" s="15">
        <v>-47.520268396656242</v>
      </c>
      <c r="BA170" s="21">
        <v>0.78550596850703802</v>
      </c>
      <c r="BB170" s="21">
        <v>-34.820821383824637</v>
      </c>
      <c r="BC170" s="24" t="s">
        <v>189</v>
      </c>
      <c r="BD170" s="21">
        <v>126.97634862388357</v>
      </c>
      <c r="BE170" s="21">
        <v>-34.820821383824637</v>
      </c>
      <c r="BF170" s="19"/>
      <c r="BG170" s="19"/>
      <c r="BH170" s="15"/>
      <c r="BI170" s="19"/>
      <c r="BJ170" s="15"/>
      <c r="BK170" s="19"/>
      <c r="BL170" s="15"/>
      <c r="BM170" s="19"/>
      <c r="BN170" s="19"/>
      <c r="BO170" s="19"/>
      <c r="BP170" s="19"/>
      <c r="BQ170" s="19"/>
      <c r="BR170" s="19"/>
      <c r="BS170" s="19"/>
      <c r="BT170" s="2"/>
      <c r="BU170" s="19"/>
      <c r="BV170" s="19"/>
      <c r="BW170" s="19"/>
      <c r="BX170" s="19"/>
      <c r="BY170" s="19"/>
      <c r="BZ170" s="2"/>
      <c r="CA170" s="19"/>
      <c r="CB170" s="19"/>
      <c r="CC170" s="19"/>
      <c r="CD170" s="19"/>
      <c r="CE170" s="19"/>
      <c r="CF170" s="15"/>
      <c r="CG170" s="15"/>
      <c r="CH170" s="21"/>
      <c r="CI170" s="15"/>
      <c r="CJ170" s="15"/>
      <c r="CK170" s="15"/>
      <c r="CL170" s="15"/>
      <c r="CM170" s="10"/>
      <c r="CN170" s="10"/>
      <c r="CO170" s="10"/>
      <c r="CP170" s="9"/>
      <c r="CQ170" s="10"/>
      <c r="CR170" s="10"/>
      <c r="CS170" s="10"/>
      <c r="CT170" s="10"/>
      <c r="CU170" s="10"/>
      <c r="CV170" s="10"/>
      <c r="CW170" s="10"/>
      <c r="CX170" s="10"/>
      <c r="CY170" s="10"/>
      <c r="CZ170" s="10"/>
      <c r="DA170" s="10"/>
      <c r="DB170" s="10"/>
      <c r="DC170" s="10"/>
      <c r="DD170" s="10"/>
      <c r="DE170" s="10"/>
      <c r="DF170" s="10"/>
      <c r="DG170" s="10"/>
      <c r="DH170" s="10"/>
      <c r="DI170" s="10"/>
      <c r="DJ170" s="10"/>
      <c r="DK170" s="15"/>
      <c r="DL170" s="15"/>
      <c r="DM170" s="15"/>
      <c r="DN170" s="15"/>
      <c r="DO170" s="15"/>
      <c r="DP170" s="15"/>
      <c r="DQ170" s="15"/>
      <c r="DR170" s="15"/>
      <c r="DS170" s="15"/>
      <c r="DT170" s="15"/>
      <c r="DU170" s="15"/>
      <c r="DV170" s="15"/>
      <c r="DW170" s="15"/>
      <c r="DX170" s="15"/>
      <c r="DY170" s="15"/>
      <c r="DZ170" s="15"/>
      <c r="EA170" s="15"/>
      <c r="EB170" s="15"/>
      <c r="EC170" s="15"/>
      <c r="ED170" s="15"/>
      <c r="EE170" s="15"/>
      <c r="EF170" s="15"/>
      <c r="EG170" s="15"/>
      <c r="EH170" s="15"/>
      <c r="EI170" s="15"/>
      <c r="EJ170" s="15"/>
      <c r="EK170" s="15"/>
      <c r="EL170" s="15"/>
      <c r="EM170" s="15"/>
      <c r="EN170" s="15"/>
      <c r="EO170" s="15"/>
      <c r="EP170" s="15"/>
      <c r="EQ170" s="15"/>
      <c r="ER170" s="15"/>
      <c r="ES170" s="15"/>
      <c r="ET170" s="15"/>
      <c r="EU170" s="15"/>
      <c r="EV170" s="15"/>
      <c r="EW170" s="15"/>
      <c r="EX170" s="15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</row>
    <row r="171" spans="1:228" ht="15" hidden="1">
      <c r="A171" s="85"/>
      <c r="B171" s="85"/>
      <c r="C171" s="85"/>
      <c r="D171" s="205"/>
      <c r="E171" s="205"/>
      <c r="F171" s="205"/>
      <c r="G171" s="205"/>
      <c r="H171" s="205"/>
      <c r="I171" s="205"/>
      <c r="J171" s="85"/>
      <c r="K171" s="85"/>
      <c r="L171" s="206"/>
      <c r="M171" s="85"/>
      <c r="N171" s="201"/>
      <c r="O171" s="202" t="s">
        <v>190</v>
      </c>
      <c r="P171" s="201">
        <v>0</v>
      </c>
      <c r="Q171" s="201"/>
      <c r="R171" s="201"/>
      <c r="S171" s="201"/>
      <c r="T171" s="201"/>
      <c r="U171" s="15"/>
      <c r="V171" s="15"/>
      <c r="W171" s="15"/>
      <c r="X171" s="15"/>
      <c r="Y171" s="15">
        <v>147.44395553248353</v>
      </c>
      <c r="Z171" s="15">
        <v>147.44395553248353</v>
      </c>
      <c r="AA171" s="15">
        <v>-69.792416593126745</v>
      </c>
      <c r="AB171" s="15">
        <v>1</v>
      </c>
      <c r="AC171" s="15">
        <v>0.30630282540942666</v>
      </c>
      <c r="AD171" s="15">
        <v>0.30630282540942666</v>
      </c>
      <c r="AE171" s="15">
        <v>-5.0486674077811946</v>
      </c>
      <c r="AF171" s="15">
        <v>-4.7423645823717679</v>
      </c>
      <c r="AG171" s="15">
        <v>12.126185127076896</v>
      </c>
      <c r="AH171" s="15">
        <v>192.12618512707689</v>
      </c>
      <c r="AI171" s="15">
        <v>-80.857416593126743</v>
      </c>
      <c r="AJ171" s="21">
        <v>0.7329207095931396</v>
      </c>
      <c r="AK171" s="21">
        <v>-27.764690854029467</v>
      </c>
      <c r="AL171" s="24" t="s">
        <v>190</v>
      </c>
      <c r="AM171" s="21">
        <v>192.12618512707689</v>
      </c>
      <c r="AN171" s="21">
        <v>-27.764690854029467</v>
      </c>
      <c r="AO171" s="21"/>
      <c r="AP171" s="15">
        <v>1.9268021446804511</v>
      </c>
      <c r="AQ171" s="15">
        <v>1.9268021446804511</v>
      </c>
      <c r="AR171" s="15">
        <v>-69.792416593126745</v>
      </c>
      <c r="AS171" s="15">
        <v>0</v>
      </c>
      <c r="AT171" s="15">
        <v>5.8129570136103936</v>
      </c>
      <c r="AU171" s="15">
        <v>-5.8129570136103936</v>
      </c>
      <c r="AV171" s="15">
        <v>-80.8028644739762</v>
      </c>
      <c r="AW171" s="15">
        <v>-86.615821487586601</v>
      </c>
      <c r="AX171" s="15">
        <v>0.67399217437124492</v>
      </c>
      <c r="AY171" s="15">
        <v>180.67399217437125</v>
      </c>
      <c r="AZ171" s="15">
        <v>-80.857416593126743</v>
      </c>
      <c r="BA171" s="21">
        <v>0.42064989116774365</v>
      </c>
      <c r="BB171" s="21">
        <v>9.1314602629054633</v>
      </c>
      <c r="BC171" s="24" t="s">
        <v>190</v>
      </c>
      <c r="BD171" s="21">
        <v>180.67399217437125</v>
      </c>
      <c r="BE171" s="21">
        <v>9.1314602629054633</v>
      </c>
      <c r="BF171" s="19"/>
      <c r="BG171" s="19"/>
      <c r="BH171" s="15"/>
      <c r="BI171" s="19"/>
      <c r="BJ171" s="15"/>
      <c r="BK171" s="19"/>
      <c r="BL171" s="15"/>
      <c r="BM171" s="19"/>
      <c r="BN171" s="19"/>
      <c r="BO171" s="19"/>
      <c r="BP171" s="19"/>
      <c r="BQ171" s="19"/>
      <c r="BR171" s="19"/>
      <c r="BS171" s="19"/>
      <c r="BT171" s="2"/>
      <c r="BU171" s="19"/>
      <c r="BV171" s="19"/>
      <c r="BW171" s="19"/>
      <c r="BX171" s="19"/>
      <c r="BY171" s="19"/>
      <c r="BZ171" s="2"/>
      <c r="CA171" s="19"/>
      <c r="CB171" s="19"/>
      <c r="CC171" s="19"/>
      <c r="CD171" s="19"/>
      <c r="CE171" s="19"/>
      <c r="CF171" s="15"/>
      <c r="CG171" s="15"/>
      <c r="CH171" s="21"/>
      <c r="CI171" s="15"/>
      <c r="CJ171" s="15"/>
      <c r="CK171" s="15"/>
      <c r="CL171" s="15"/>
      <c r="CM171" s="10"/>
      <c r="CN171" s="10"/>
      <c r="CO171" s="10"/>
      <c r="CP171" s="9"/>
      <c r="CQ171" s="10"/>
      <c r="CR171" s="10"/>
      <c r="CS171" s="10"/>
      <c r="CT171" s="10"/>
      <c r="CU171" s="10"/>
      <c r="CV171" s="10"/>
      <c r="CW171" s="10"/>
      <c r="CX171" s="10"/>
      <c r="CY171" s="10"/>
      <c r="CZ171" s="10"/>
      <c r="DA171" s="10"/>
      <c r="DB171" s="10"/>
      <c r="DC171" s="10"/>
      <c r="DD171" s="10"/>
      <c r="DE171" s="10"/>
      <c r="DF171" s="10"/>
      <c r="DG171" s="10"/>
      <c r="DH171" s="10"/>
      <c r="DI171" s="10"/>
      <c r="DJ171" s="10"/>
      <c r="DK171" s="15"/>
      <c r="DL171" s="15"/>
      <c r="DM171" s="15"/>
      <c r="DN171" s="15"/>
      <c r="DO171" s="15"/>
      <c r="DP171" s="15"/>
      <c r="DQ171" s="15"/>
      <c r="DR171" s="15"/>
      <c r="DS171" s="15"/>
      <c r="DT171" s="15"/>
      <c r="DU171" s="15"/>
      <c r="DV171" s="15"/>
      <c r="DW171" s="15"/>
      <c r="DX171" s="15"/>
      <c r="DY171" s="15"/>
      <c r="DZ171" s="15"/>
      <c r="EA171" s="15"/>
      <c r="EB171" s="15"/>
      <c r="EC171" s="15"/>
      <c r="ED171" s="15"/>
      <c r="EE171" s="15"/>
      <c r="EF171" s="15"/>
      <c r="EG171" s="15"/>
      <c r="EH171" s="15"/>
      <c r="EI171" s="15"/>
      <c r="EJ171" s="15"/>
      <c r="EK171" s="15"/>
      <c r="EL171" s="15"/>
      <c r="EM171" s="15"/>
      <c r="EN171" s="15"/>
      <c r="EO171" s="15"/>
      <c r="EP171" s="15"/>
      <c r="EQ171" s="15"/>
      <c r="ER171" s="15"/>
      <c r="ES171" s="15"/>
      <c r="ET171" s="15"/>
      <c r="EU171" s="15"/>
      <c r="EV171" s="15"/>
      <c r="EW171" s="15"/>
      <c r="EX171" s="15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</row>
    <row r="172" spans="1:228" ht="15" hidden="1">
      <c r="A172" s="83"/>
      <c r="B172" s="83"/>
      <c r="C172" s="83"/>
      <c r="D172" s="83"/>
      <c r="E172" s="85"/>
      <c r="F172" s="83"/>
      <c r="G172" s="83"/>
      <c r="H172" s="83"/>
      <c r="I172" s="83"/>
      <c r="J172" s="83"/>
      <c r="K172" s="85"/>
      <c r="L172" s="206"/>
      <c r="M172" s="85"/>
      <c r="N172" s="201"/>
      <c r="O172" s="202" t="s">
        <v>191</v>
      </c>
      <c r="P172" s="201">
        <v>0</v>
      </c>
      <c r="Q172" s="201"/>
      <c r="R172" s="201"/>
      <c r="S172" s="201"/>
      <c r="T172" s="201"/>
      <c r="U172" s="15"/>
      <c r="V172" s="15"/>
      <c r="W172" s="15"/>
      <c r="X172" s="15"/>
      <c r="Y172" s="15">
        <v>234.62198885018017</v>
      </c>
      <c r="Z172" s="15">
        <v>125.37801114981983</v>
      </c>
      <c r="AA172" s="15">
        <v>49.927735290500401</v>
      </c>
      <c r="AB172" s="15">
        <v>1</v>
      </c>
      <c r="AC172" s="15">
        <v>0.13886284022236486</v>
      </c>
      <c r="AD172" s="15">
        <v>0.13886284022236486</v>
      </c>
      <c r="AE172" s="15">
        <v>1.4579082689008613</v>
      </c>
      <c r="AF172" s="15">
        <v>1.5967711091232262</v>
      </c>
      <c r="AG172" s="15">
        <v>32.543028629514779</v>
      </c>
      <c r="AH172" s="15">
        <v>32.543028629514779</v>
      </c>
      <c r="AI172" s="15">
        <v>38.862735290500403</v>
      </c>
      <c r="AJ172" s="21">
        <v>0.60945929840362556</v>
      </c>
      <c r="AK172" s="21">
        <v>-12.645524930438086</v>
      </c>
      <c r="AL172" s="24" t="s">
        <v>191</v>
      </c>
      <c r="AM172" s="21">
        <v>32.543028629514779</v>
      </c>
      <c r="AN172" s="21">
        <v>-12.645524930438086</v>
      </c>
      <c r="AO172" s="21"/>
      <c r="AP172" s="15">
        <v>339.37216449799081</v>
      </c>
      <c r="AQ172" s="15">
        <v>20.627835502009191</v>
      </c>
      <c r="AR172" s="15">
        <v>49.927735290500401</v>
      </c>
      <c r="AS172" s="15">
        <v>0</v>
      </c>
      <c r="AT172" s="15">
        <v>0.519506882834608</v>
      </c>
      <c r="AU172" s="15">
        <v>-0.519506882834608</v>
      </c>
      <c r="AV172" s="15">
        <v>3.3741636346439252</v>
      </c>
      <c r="AW172" s="15">
        <v>2.8546567518093173</v>
      </c>
      <c r="AX172" s="15">
        <v>19.643530724503581</v>
      </c>
      <c r="AY172" s="15">
        <v>19.643530724503581</v>
      </c>
      <c r="AZ172" s="15">
        <v>38.862735290500403</v>
      </c>
      <c r="BA172" s="21">
        <v>0.13092667193299701</v>
      </c>
      <c r="BB172" s="21">
        <v>47.57377750939677</v>
      </c>
      <c r="BC172" s="24" t="s">
        <v>191</v>
      </c>
      <c r="BD172" s="21">
        <v>19.643530724503581</v>
      </c>
      <c r="BE172" s="21">
        <v>47.57377750939677</v>
      </c>
      <c r="BF172" s="19"/>
      <c r="BG172" s="19"/>
      <c r="BH172" s="15"/>
      <c r="BI172" s="19"/>
      <c r="BJ172" s="15"/>
      <c r="BK172" s="19"/>
      <c r="BL172" s="15"/>
      <c r="BM172" s="19"/>
      <c r="BN172" s="19"/>
      <c r="BO172" s="19"/>
      <c r="BP172" s="19"/>
      <c r="BQ172" s="19"/>
      <c r="BR172" s="19"/>
      <c r="BS172" s="19"/>
      <c r="BT172" s="2"/>
      <c r="BU172" s="19"/>
      <c r="BV172" s="19"/>
      <c r="BW172" s="19"/>
      <c r="BX172" s="19"/>
      <c r="BY172" s="19"/>
      <c r="BZ172" s="2"/>
      <c r="CA172" s="19"/>
      <c r="CB172" s="19"/>
      <c r="CC172" s="19"/>
      <c r="CD172" s="19"/>
      <c r="CE172" s="19"/>
      <c r="CF172" s="15"/>
      <c r="CG172" s="15"/>
      <c r="CH172" s="21"/>
      <c r="CI172" s="15"/>
      <c r="CJ172" s="15"/>
      <c r="CK172" s="15"/>
      <c r="CL172" s="15"/>
      <c r="CM172" s="10"/>
      <c r="CN172" s="10"/>
      <c r="CO172" s="10"/>
      <c r="CP172" s="9"/>
      <c r="CQ172" s="10"/>
      <c r="CR172" s="10"/>
      <c r="CS172" s="10"/>
      <c r="CT172" s="10"/>
      <c r="CU172" s="10"/>
      <c r="CV172" s="10"/>
      <c r="CW172" s="10"/>
      <c r="CX172" s="10"/>
      <c r="CY172" s="10"/>
      <c r="CZ172" s="10"/>
      <c r="DA172" s="10"/>
      <c r="DB172" s="10"/>
      <c r="DC172" s="10"/>
      <c r="DD172" s="10"/>
      <c r="DE172" s="10"/>
      <c r="DF172" s="10"/>
      <c r="DG172" s="10"/>
      <c r="DH172" s="10"/>
      <c r="DI172" s="10"/>
      <c r="DJ172" s="10"/>
      <c r="DK172" s="15"/>
      <c r="DL172" s="15"/>
      <c r="DM172" s="15"/>
      <c r="DN172" s="15"/>
      <c r="DO172" s="15"/>
      <c r="DP172" s="15"/>
      <c r="DQ172" s="15"/>
      <c r="DR172" s="15"/>
      <c r="DS172" s="15"/>
      <c r="DT172" s="15"/>
      <c r="DU172" s="15"/>
      <c r="DV172" s="15"/>
      <c r="DW172" s="15"/>
      <c r="DX172" s="15"/>
      <c r="DY172" s="15"/>
      <c r="DZ172" s="15"/>
      <c r="EA172" s="15"/>
      <c r="EB172" s="15"/>
      <c r="EC172" s="15"/>
      <c r="ED172" s="15"/>
      <c r="EE172" s="15"/>
      <c r="EF172" s="15"/>
      <c r="EG172" s="15"/>
      <c r="EH172" s="15"/>
      <c r="EI172" s="15"/>
      <c r="EJ172" s="15"/>
      <c r="EK172" s="15"/>
      <c r="EL172" s="15"/>
      <c r="EM172" s="15"/>
      <c r="EN172" s="15"/>
      <c r="EO172" s="15"/>
      <c r="EP172" s="15"/>
      <c r="EQ172" s="15"/>
      <c r="ER172" s="15"/>
      <c r="ES172" s="15"/>
      <c r="ET172" s="15"/>
      <c r="EU172" s="15"/>
      <c r="EV172" s="15"/>
      <c r="EW172" s="15"/>
      <c r="EX172" s="15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</row>
    <row r="173" spans="1:228" ht="15" hidden="1">
      <c r="A173" s="83"/>
      <c r="B173" s="83"/>
      <c r="C173" s="83"/>
      <c r="D173" s="83"/>
      <c r="E173" s="85"/>
      <c r="F173" s="83"/>
      <c r="G173" s="83"/>
      <c r="H173" s="83"/>
      <c r="I173" s="83"/>
      <c r="J173" s="83"/>
      <c r="K173" s="85"/>
      <c r="L173" s="206"/>
      <c r="M173" s="85"/>
      <c r="N173" s="201"/>
      <c r="O173" s="202" t="s">
        <v>192</v>
      </c>
      <c r="P173" s="201">
        <v>0</v>
      </c>
      <c r="Q173" s="201"/>
      <c r="R173" s="201"/>
      <c r="S173" s="201"/>
      <c r="T173" s="201"/>
      <c r="U173" s="15"/>
      <c r="V173" s="15"/>
      <c r="W173" s="15"/>
      <c r="X173" s="15"/>
      <c r="Y173" s="15">
        <v>1.9226240701258916</v>
      </c>
      <c r="Z173" s="15">
        <v>1.9226240701258916</v>
      </c>
      <c r="AA173" s="15">
        <v>-26.270606564737925</v>
      </c>
      <c r="AB173" s="15">
        <v>0</v>
      </c>
      <c r="AC173" s="15">
        <v>5.8255987301674699</v>
      </c>
      <c r="AD173" s="15">
        <v>-5.8255987301674699</v>
      </c>
      <c r="AE173" s="15">
        <v>-14.712227224185741</v>
      </c>
      <c r="AF173" s="15">
        <v>-20.53782595435321</v>
      </c>
      <c r="AG173" s="15">
        <v>2.8402835289927215</v>
      </c>
      <c r="AH173" s="15">
        <v>182.84028352899273</v>
      </c>
      <c r="AI173" s="15">
        <v>-37.335606564737922</v>
      </c>
      <c r="AJ173" s="21">
        <v>0.10269934463822011</v>
      </c>
      <c r="AK173" s="21">
        <v>52.617614647037513</v>
      </c>
      <c r="AL173" s="24" t="s">
        <v>192</v>
      </c>
      <c r="AM173" s="21">
        <v>182.84028352899273</v>
      </c>
      <c r="AN173" s="21">
        <v>52.617614647037513</v>
      </c>
      <c r="AO173" s="21"/>
      <c r="AP173" s="15">
        <v>169.37374689426557</v>
      </c>
      <c r="AQ173" s="15">
        <v>169.37374689426557</v>
      </c>
      <c r="AR173" s="15">
        <v>-26.270606564737925</v>
      </c>
      <c r="AS173" s="15">
        <v>1</v>
      </c>
      <c r="AT173" s="15">
        <v>1.042312794127811</v>
      </c>
      <c r="AU173" s="15">
        <v>1.042312794127811</v>
      </c>
      <c r="AV173" s="15">
        <v>-2.6767246800378603</v>
      </c>
      <c r="AW173" s="15">
        <v>-1.6344118859100494</v>
      </c>
      <c r="AX173" s="15">
        <v>31.94066750253025</v>
      </c>
      <c r="AY173" s="15">
        <v>211.94066750253026</v>
      </c>
      <c r="AZ173" s="15">
        <v>-37.335606564737922</v>
      </c>
      <c r="BA173" s="21">
        <v>0.97494946340495292</v>
      </c>
      <c r="BB173" s="21">
        <v>-71.786590526218703</v>
      </c>
      <c r="BC173" s="24" t="s">
        <v>192</v>
      </c>
      <c r="BD173" s="21">
        <v>211.94066750253026</v>
      </c>
      <c r="BE173" s="21">
        <v>-71.786590526218703</v>
      </c>
      <c r="BF173" s="19"/>
      <c r="BG173" s="19"/>
      <c r="BH173" s="15"/>
      <c r="BI173" s="19"/>
      <c r="BJ173" s="15"/>
      <c r="BK173" s="19"/>
      <c r="BL173" s="15"/>
      <c r="BM173" s="19"/>
      <c r="BN173" s="19"/>
      <c r="BO173" s="19"/>
      <c r="BP173" s="19"/>
      <c r="BQ173" s="19"/>
      <c r="BR173" s="19"/>
      <c r="BS173" s="19"/>
      <c r="BT173" s="2"/>
      <c r="BU173" s="19"/>
      <c r="BV173" s="19"/>
      <c r="BW173" s="19"/>
      <c r="BX173" s="19"/>
      <c r="BY173" s="19"/>
      <c r="BZ173" s="2"/>
      <c r="CA173" s="19"/>
      <c r="CB173" s="19"/>
      <c r="CC173" s="19"/>
      <c r="CD173" s="19"/>
      <c r="CE173" s="19"/>
      <c r="CF173" s="15"/>
      <c r="CG173" s="15"/>
      <c r="CH173" s="21"/>
      <c r="CI173" s="15"/>
      <c r="CJ173" s="15"/>
      <c r="CK173" s="15"/>
      <c r="CL173" s="15"/>
      <c r="CM173" s="10"/>
      <c r="CN173" s="10"/>
      <c r="CO173" s="10"/>
      <c r="CP173" s="9"/>
      <c r="CQ173" s="10"/>
      <c r="CR173" s="10"/>
      <c r="CS173" s="10"/>
      <c r="CT173" s="10"/>
      <c r="CU173" s="10"/>
      <c r="CV173" s="10"/>
      <c r="CW173" s="10"/>
      <c r="CX173" s="10"/>
      <c r="CY173" s="10"/>
      <c r="CZ173" s="10"/>
      <c r="DA173" s="10"/>
      <c r="DB173" s="10"/>
      <c r="DC173" s="10"/>
      <c r="DD173" s="10"/>
      <c r="DE173" s="10"/>
      <c r="DF173" s="10"/>
      <c r="DG173" s="10"/>
      <c r="DH173" s="10"/>
      <c r="DI173" s="10"/>
      <c r="DJ173" s="10"/>
      <c r="DK173" s="15"/>
      <c r="DL173" s="15"/>
      <c r="DM173" s="15"/>
      <c r="DN173" s="15"/>
      <c r="DO173" s="15"/>
      <c r="DP173" s="15"/>
      <c r="DQ173" s="15"/>
      <c r="DR173" s="15"/>
      <c r="DS173" s="15"/>
      <c r="DT173" s="15"/>
      <c r="DU173" s="15"/>
      <c r="DV173" s="15"/>
      <c r="DW173" s="15"/>
      <c r="DX173" s="15"/>
      <c r="DY173" s="15"/>
      <c r="DZ173" s="15"/>
      <c r="EA173" s="15"/>
      <c r="EB173" s="15"/>
      <c r="EC173" s="15"/>
      <c r="ED173" s="15"/>
      <c r="EE173" s="15"/>
      <c r="EF173" s="15"/>
      <c r="EG173" s="15"/>
      <c r="EH173" s="15"/>
      <c r="EI173" s="15"/>
      <c r="EJ173" s="15"/>
      <c r="EK173" s="15"/>
      <c r="EL173" s="15"/>
      <c r="EM173" s="15"/>
      <c r="EN173" s="15"/>
      <c r="EO173" s="15"/>
      <c r="EP173" s="15"/>
      <c r="EQ173" s="15"/>
      <c r="ER173" s="15"/>
      <c r="ES173" s="15"/>
      <c r="ET173" s="15"/>
      <c r="EU173" s="15"/>
      <c r="EV173" s="15"/>
      <c r="EW173" s="15"/>
      <c r="EX173" s="15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</row>
    <row r="174" spans="1:228" ht="15" hidden="1">
      <c r="A174" s="83"/>
      <c r="B174" s="83"/>
      <c r="C174" s="83"/>
      <c r="D174" s="83"/>
      <c r="E174" s="83"/>
      <c r="F174" s="83"/>
      <c r="G174" s="83"/>
      <c r="H174" s="83"/>
      <c r="I174" s="83"/>
      <c r="J174" s="83"/>
      <c r="K174" s="85"/>
      <c r="L174" s="206"/>
      <c r="M174" s="85"/>
      <c r="N174" s="201"/>
      <c r="O174" s="202" t="s">
        <v>193</v>
      </c>
      <c r="P174" s="201">
        <v>0</v>
      </c>
      <c r="Q174" s="201"/>
      <c r="R174" s="201"/>
      <c r="S174" s="201"/>
      <c r="T174" s="201"/>
      <c r="U174" s="15"/>
      <c r="V174" s="15"/>
      <c r="W174" s="15"/>
      <c r="X174" s="15"/>
      <c r="Y174" s="15">
        <v>339.36798642343626</v>
      </c>
      <c r="Z174" s="15">
        <v>20.632013576563736</v>
      </c>
      <c r="AA174" s="15">
        <v>-56.674941971992666</v>
      </c>
      <c r="AB174" s="15">
        <v>0</v>
      </c>
      <c r="AC174" s="15">
        <v>0.51939200705596822</v>
      </c>
      <c r="AD174" s="15">
        <v>-0.51939200705596822</v>
      </c>
      <c r="AE174" s="15">
        <v>-4.3162806679165442</v>
      </c>
      <c r="AF174" s="15">
        <v>-4.8356726749725123</v>
      </c>
      <c r="AG174" s="15">
        <v>11.898933373778155</v>
      </c>
      <c r="AH174" s="15">
        <v>168.10106662622184</v>
      </c>
      <c r="AI174" s="15">
        <v>-67.739941971992664</v>
      </c>
      <c r="AJ174" s="21">
        <v>0.32788505116342653</v>
      </c>
      <c r="AK174" s="21">
        <v>20.134792953689328</v>
      </c>
      <c r="AL174" s="24" t="s">
        <v>193</v>
      </c>
      <c r="AM174" s="21">
        <v>168.10106662622184</v>
      </c>
      <c r="AN174" s="21">
        <v>20.134792953689328</v>
      </c>
      <c r="AO174" s="21"/>
      <c r="AP174" s="15">
        <v>170.88429455524269</v>
      </c>
      <c r="AQ174" s="15">
        <v>170.88429455524269</v>
      </c>
      <c r="AR174" s="15">
        <v>-56.674941971992666</v>
      </c>
      <c r="AS174" s="15">
        <v>1</v>
      </c>
      <c r="AT174" s="15">
        <v>1.2187694198414281</v>
      </c>
      <c r="AU174" s="15">
        <v>1.2187694198414281</v>
      </c>
      <c r="AV174" s="15">
        <v>-9.5999293770490404</v>
      </c>
      <c r="AW174" s="15">
        <v>-8.381159957207613</v>
      </c>
      <c r="AX174" s="15">
        <v>6.9317335995268632</v>
      </c>
      <c r="AY174" s="15">
        <v>186.93173359952686</v>
      </c>
      <c r="AZ174" s="15">
        <v>-67.739941971992664</v>
      </c>
      <c r="BA174" s="21">
        <v>0.84636489810267312</v>
      </c>
      <c r="BB174" s="21">
        <v>-43.8465862415608</v>
      </c>
      <c r="BC174" s="24" t="s">
        <v>193</v>
      </c>
      <c r="BD174" s="21">
        <v>186.93173359952686</v>
      </c>
      <c r="BE174" s="21">
        <v>-43.8465862415608</v>
      </c>
      <c r="BF174" s="19"/>
      <c r="BG174" s="19"/>
      <c r="BH174" s="15"/>
      <c r="BI174" s="19"/>
      <c r="BJ174" s="15"/>
      <c r="BK174" s="19"/>
      <c r="BL174" s="15"/>
      <c r="BM174" s="19"/>
      <c r="BN174" s="19"/>
      <c r="BO174" s="19"/>
      <c r="BP174" s="19"/>
      <c r="BQ174" s="19"/>
      <c r="BR174" s="19"/>
      <c r="BS174" s="19"/>
      <c r="BT174" s="2"/>
      <c r="BU174" s="19"/>
      <c r="BV174" s="19"/>
      <c r="BW174" s="19"/>
      <c r="BX174" s="19"/>
      <c r="BY174" s="19"/>
      <c r="BZ174" s="2"/>
      <c r="CA174" s="19"/>
      <c r="CB174" s="19"/>
      <c r="CC174" s="19"/>
      <c r="CD174" s="19"/>
      <c r="CE174" s="19"/>
      <c r="CF174" s="15"/>
      <c r="CG174" s="15"/>
      <c r="CH174" s="21"/>
      <c r="CI174" s="15"/>
      <c r="CJ174" s="15"/>
      <c r="CK174" s="15"/>
      <c r="CL174" s="15"/>
      <c r="CM174" s="10"/>
      <c r="CN174" s="10"/>
      <c r="CO174" s="10"/>
      <c r="CP174" s="9"/>
      <c r="CQ174" s="10"/>
      <c r="CR174" s="10"/>
      <c r="CS174" s="10"/>
      <c r="CT174" s="10"/>
      <c r="CU174" s="10"/>
      <c r="CV174" s="10"/>
      <c r="CW174" s="10"/>
      <c r="CX174" s="10"/>
      <c r="CY174" s="10"/>
      <c r="CZ174" s="10"/>
      <c r="DA174" s="10"/>
      <c r="DB174" s="10"/>
      <c r="DC174" s="10"/>
      <c r="DD174" s="10"/>
      <c r="DE174" s="10"/>
      <c r="DF174" s="10"/>
      <c r="DG174" s="10"/>
      <c r="DH174" s="10"/>
      <c r="DI174" s="10"/>
      <c r="DJ174" s="10"/>
      <c r="DK174" s="15"/>
      <c r="DL174" s="15"/>
      <c r="DM174" s="15"/>
      <c r="DN174" s="15"/>
      <c r="DO174" s="15"/>
      <c r="DP174" s="15"/>
      <c r="DQ174" s="15"/>
      <c r="DR174" s="15"/>
      <c r="DS174" s="15"/>
      <c r="DT174" s="15"/>
      <c r="DU174" s="15"/>
      <c r="DV174" s="15"/>
      <c r="DW174" s="15"/>
      <c r="DX174" s="15"/>
      <c r="DY174" s="15"/>
      <c r="DZ174" s="15"/>
      <c r="EA174" s="15"/>
      <c r="EB174" s="15"/>
      <c r="EC174" s="15"/>
      <c r="ED174" s="15"/>
      <c r="EE174" s="15"/>
      <c r="EF174" s="15"/>
      <c r="EG174" s="15"/>
      <c r="EH174" s="15"/>
      <c r="EI174" s="15"/>
      <c r="EJ174" s="15"/>
      <c r="EK174" s="15"/>
      <c r="EL174" s="15"/>
      <c r="EM174" s="15"/>
      <c r="EN174" s="15"/>
      <c r="EO174" s="15"/>
      <c r="EP174" s="15"/>
      <c r="EQ174" s="15"/>
      <c r="ER174" s="15"/>
      <c r="ES174" s="15"/>
      <c r="ET174" s="15"/>
      <c r="EU174" s="15"/>
      <c r="EV174" s="15"/>
      <c r="EW174" s="15"/>
      <c r="EX174" s="15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</row>
    <row r="175" spans="1:228" ht="15" hidden="1">
      <c r="A175" s="83"/>
      <c r="B175" s="83"/>
      <c r="C175" s="83"/>
      <c r="D175" s="83"/>
      <c r="E175" s="83"/>
      <c r="F175" s="83"/>
      <c r="G175" s="83"/>
      <c r="H175" s="83"/>
      <c r="I175" s="83"/>
      <c r="J175" s="83"/>
      <c r="K175" s="85"/>
      <c r="L175" s="206"/>
      <c r="M175" s="85"/>
      <c r="N175" s="201"/>
      <c r="O175" s="202" t="s">
        <v>194</v>
      </c>
      <c r="P175" s="201">
        <v>0</v>
      </c>
      <c r="Q175" s="201"/>
      <c r="R175" s="201"/>
      <c r="S175" s="201"/>
      <c r="T175" s="201"/>
      <c r="U175" s="15"/>
      <c r="V175" s="15"/>
      <c r="W175" s="15"/>
      <c r="X175" s="15"/>
      <c r="Y175" s="15">
        <v>169.36956881971099</v>
      </c>
      <c r="Z175" s="15">
        <v>169.36956881971099</v>
      </c>
      <c r="AA175" s="15">
        <v>27.97793478579036</v>
      </c>
      <c r="AB175" s="15">
        <v>1</v>
      </c>
      <c r="AC175" s="15">
        <v>1.0418935854757834</v>
      </c>
      <c r="AD175" s="15">
        <v>1.0418935854757834</v>
      </c>
      <c r="AE175" s="15">
        <v>2.8796324424572646</v>
      </c>
      <c r="AF175" s="15">
        <v>3.9215260279330479</v>
      </c>
      <c r="AG175" s="15">
        <v>14.565255669014741</v>
      </c>
      <c r="AH175" s="15">
        <v>345.43474433098527</v>
      </c>
      <c r="AI175" s="15">
        <v>16.912934785790362</v>
      </c>
      <c r="AJ175" s="21">
        <v>0.88089961991830656</v>
      </c>
      <c r="AK175" s="21">
        <v>-49.623072671760838</v>
      </c>
      <c r="AL175" s="24" t="s">
        <v>194</v>
      </c>
      <c r="AM175" s="21">
        <v>345.43474433098527</v>
      </c>
      <c r="AN175" s="21">
        <v>-49.623072671760838</v>
      </c>
      <c r="AO175" s="21"/>
      <c r="AP175" s="15">
        <v>21.983033664669634</v>
      </c>
      <c r="AQ175" s="15">
        <v>21.983033664669634</v>
      </c>
      <c r="AR175" s="15">
        <v>27.97793478579036</v>
      </c>
      <c r="AS175" s="15">
        <v>0</v>
      </c>
      <c r="AT175" s="15">
        <v>0.48443574176874665</v>
      </c>
      <c r="AU175" s="15">
        <v>-0.48443574176874665</v>
      </c>
      <c r="AV175" s="15">
        <v>1.4191026044066695</v>
      </c>
      <c r="AW175" s="15">
        <v>0.93466686263792287</v>
      </c>
      <c r="AX175" s="15">
        <v>47.470105658609043</v>
      </c>
      <c r="AY175" s="15">
        <v>312.52989434139096</v>
      </c>
      <c r="AZ175" s="15">
        <v>16.912934785790362</v>
      </c>
      <c r="BA175" s="21">
        <v>5.3133259026890006E-2</v>
      </c>
      <c r="BB175" s="21">
        <v>63.346210122682251</v>
      </c>
      <c r="BC175" s="24" t="s">
        <v>194</v>
      </c>
      <c r="BD175" s="21">
        <v>312.52989434139096</v>
      </c>
      <c r="BE175" s="21">
        <v>63.346210122682251</v>
      </c>
      <c r="BF175" s="19"/>
      <c r="BG175" s="19"/>
      <c r="BH175" s="15"/>
      <c r="BI175" s="19"/>
      <c r="BJ175" s="15"/>
      <c r="BK175" s="19"/>
      <c r="BL175" s="15"/>
      <c r="BM175" s="19"/>
      <c r="BN175" s="19"/>
      <c r="BO175" s="19"/>
      <c r="BP175" s="19"/>
      <c r="BQ175" s="19"/>
      <c r="BR175" s="19"/>
      <c r="BS175" s="19"/>
      <c r="BT175" s="2"/>
      <c r="BU175" s="19"/>
      <c r="BV175" s="19"/>
      <c r="BW175" s="19"/>
      <c r="BX175" s="19"/>
      <c r="BY175" s="19"/>
      <c r="BZ175" s="2"/>
      <c r="CA175" s="19"/>
      <c r="CB175" s="19"/>
      <c r="CC175" s="19"/>
      <c r="CD175" s="19"/>
      <c r="CE175" s="19"/>
      <c r="CF175" s="15"/>
      <c r="CG175" s="15"/>
      <c r="CH175" s="21"/>
      <c r="CI175" s="15"/>
      <c r="CJ175" s="15"/>
      <c r="CK175" s="15"/>
      <c r="CL175" s="15"/>
      <c r="CM175" s="10"/>
      <c r="CN175" s="10"/>
      <c r="CO175" s="10"/>
      <c r="CP175" s="9"/>
      <c r="CQ175" s="10"/>
      <c r="CR175" s="10"/>
      <c r="CS175" s="10"/>
      <c r="CT175" s="10"/>
      <c r="CU175" s="10"/>
      <c r="CV175" s="10"/>
      <c r="CW175" s="10"/>
      <c r="CX175" s="10"/>
      <c r="CY175" s="10"/>
      <c r="CZ175" s="10"/>
      <c r="DA175" s="10"/>
      <c r="DB175" s="10"/>
      <c r="DC175" s="10"/>
      <c r="DD175" s="10"/>
      <c r="DE175" s="10"/>
      <c r="DF175" s="10"/>
      <c r="DG175" s="10"/>
      <c r="DH175" s="10"/>
      <c r="DI175" s="10"/>
      <c r="DJ175" s="10"/>
      <c r="DK175" s="15"/>
      <c r="DL175" s="15"/>
      <c r="DM175" s="15"/>
      <c r="DN175" s="15"/>
      <c r="DO175" s="15"/>
      <c r="DP175" s="15"/>
      <c r="DQ175" s="15"/>
      <c r="DR175" s="15"/>
      <c r="DS175" s="15"/>
      <c r="DT175" s="15"/>
      <c r="DU175" s="15"/>
      <c r="DV175" s="15"/>
      <c r="DW175" s="15"/>
      <c r="DX175" s="15"/>
      <c r="DY175" s="15"/>
      <c r="DZ175" s="15"/>
      <c r="EA175" s="15"/>
      <c r="EB175" s="15"/>
      <c r="EC175" s="15"/>
      <c r="ED175" s="15"/>
      <c r="EE175" s="15"/>
      <c r="EF175" s="15"/>
      <c r="EG175" s="15"/>
      <c r="EH175" s="15"/>
      <c r="EI175" s="15"/>
      <c r="EJ175" s="15"/>
      <c r="EK175" s="15"/>
      <c r="EL175" s="15"/>
      <c r="EM175" s="15"/>
      <c r="EN175" s="15"/>
      <c r="EO175" s="15"/>
      <c r="EP175" s="15"/>
      <c r="EQ175" s="15"/>
      <c r="ER175" s="15"/>
      <c r="ES175" s="15"/>
      <c r="ET175" s="15"/>
      <c r="EU175" s="15"/>
      <c r="EV175" s="15"/>
      <c r="EW175" s="15"/>
      <c r="EX175" s="15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</row>
    <row r="176" spans="1:228" ht="15" hidden="1">
      <c r="A176" s="83"/>
      <c r="B176" s="83"/>
      <c r="C176" s="83"/>
      <c r="D176" s="83"/>
      <c r="E176" s="83"/>
      <c r="F176" s="83"/>
      <c r="G176" s="83"/>
      <c r="H176" s="83"/>
      <c r="I176" s="83"/>
      <c r="J176" s="83"/>
      <c r="K176" s="85"/>
      <c r="L176" s="206"/>
      <c r="M176" s="85"/>
      <c r="N176" s="201"/>
      <c r="O176" s="202" t="s">
        <v>195</v>
      </c>
      <c r="P176" s="201">
        <v>0</v>
      </c>
      <c r="Q176" s="201"/>
      <c r="R176" s="201"/>
      <c r="S176" s="201"/>
      <c r="T176" s="201"/>
      <c r="U176" s="15"/>
      <c r="V176" s="15"/>
      <c r="W176" s="15"/>
      <c r="X176" s="15"/>
      <c r="Y176" s="15">
        <v>170.88011648068812</v>
      </c>
      <c r="Z176" s="15">
        <v>170.88011648068812</v>
      </c>
      <c r="AA176" s="15">
        <v>5.1804343670645085</v>
      </c>
      <c r="AB176" s="15">
        <v>1</v>
      </c>
      <c r="AC176" s="15">
        <v>1.2182015304660985</v>
      </c>
      <c r="AD176" s="15">
        <v>1.2182015304660985</v>
      </c>
      <c r="AE176" s="15">
        <v>0.57200260900068023</v>
      </c>
      <c r="AF176" s="15">
        <v>1.7902041394667787</v>
      </c>
      <c r="AG176" s="15">
        <v>29.647513042355893</v>
      </c>
      <c r="AH176" s="15">
        <v>330.35248695764409</v>
      </c>
      <c r="AI176" s="15">
        <v>-5.884565632935491</v>
      </c>
      <c r="AJ176" s="21">
        <v>0.97385834200952393</v>
      </c>
      <c r="AK176" s="21">
        <v>-71.390710516521807</v>
      </c>
      <c r="AL176" s="24" t="s">
        <v>195</v>
      </c>
      <c r="AM176" s="21">
        <v>330.35248695764409</v>
      </c>
      <c r="AN176" s="21">
        <v>-71.390710516521807</v>
      </c>
      <c r="AO176" s="21"/>
      <c r="AP176" s="15">
        <v>133.61898059098772</v>
      </c>
      <c r="AQ176" s="15">
        <v>133.61898059098772</v>
      </c>
      <c r="AR176" s="15">
        <v>5.1804343670645085</v>
      </c>
      <c r="AS176" s="15">
        <v>1</v>
      </c>
      <c r="AT176" s="15">
        <v>0.1863508399923208</v>
      </c>
      <c r="AU176" s="15">
        <v>0.1863508399923208</v>
      </c>
      <c r="AV176" s="15">
        <v>0.12523469495571077</v>
      </c>
      <c r="AW176" s="15">
        <v>0.31158553494803154</v>
      </c>
      <c r="AX176" s="15">
        <v>72.996724908123667</v>
      </c>
      <c r="AY176" s="15">
        <v>287.00327509187633</v>
      </c>
      <c r="AZ176" s="15">
        <v>-5.884565632935491</v>
      </c>
      <c r="BA176" s="21">
        <v>0.82847016284036368</v>
      </c>
      <c r="BB176" s="21">
        <v>-41.066939983326762</v>
      </c>
      <c r="BC176" s="24" t="s">
        <v>195</v>
      </c>
      <c r="BD176" s="21">
        <v>287.00327509187633</v>
      </c>
      <c r="BE176" s="21">
        <v>-41.066939983326762</v>
      </c>
      <c r="BF176" s="19"/>
      <c r="BG176" s="19"/>
      <c r="BH176" s="15"/>
      <c r="BI176" s="19"/>
      <c r="BJ176" s="15"/>
      <c r="BK176" s="19"/>
      <c r="BL176" s="15"/>
      <c r="BM176" s="19"/>
      <c r="BN176" s="19"/>
      <c r="BO176" s="19"/>
      <c r="BP176" s="19"/>
      <c r="BQ176" s="19"/>
      <c r="BR176" s="19"/>
      <c r="BS176" s="19"/>
      <c r="BT176" s="2"/>
      <c r="BU176" s="19"/>
      <c r="BV176" s="19"/>
      <c r="BW176" s="19"/>
      <c r="BX176" s="19"/>
      <c r="BY176" s="19"/>
      <c r="BZ176" s="2"/>
      <c r="CA176" s="19"/>
      <c r="CB176" s="19"/>
      <c r="CC176" s="19"/>
      <c r="CD176" s="19"/>
      <c r="CE176" s="19"/>
      <c r="CF176" s="15"/>
      <c r="CG176" s="15"/>
      <c r="CH176" s="21"/>
      <c r="CI176" s="15"/>
      <c r="CJ176" s="15"/>
      <c r="CK176" s="15"/>
      <c r="CL176" s="15"/>
      <c r="CM176" s="10"/>
      <c r="CN176" s="10"/>
      <c r="CO176" s="10"/>
      <c r="CP176" s="9"/>
      <c r="CQ176" s="10"/>
      <c r="CR176" s="10"/>
      <c r="CS176" s="10"/>
      <c r="CT176" s="10"/>
      <c r="CU176" s="10"/>
      <c r="CV176" s="10"/>
      <c r="CW176" s="10"/>
      <c r="CX176" s="10"/>
      <c r="CY176" s="10"/>
      <c r="CZ176" s="10"/>
      <c r="DA176" s="10"/>
      <c r="DB176" s="10"/>
      <c r="DC176" s="10"/>
      <c r="DD176" s="10"/>
      <c r="DE176" s="10"/>
      <c r="DF176" s="10"/>
      <c r="DG176" s="10"/>
      <c r="DH176" s="10"/>
      <c r="DI176" s="10"/>
      <c r="DJ176" s="10"/>
      <c r="DK176" s="15"/>
      <c r="DL176" s="15"/>
      <c r="DM176" s="15"/>
      <c r="DN176" s="15"/>
      <c r="DO176" s="15"/>
      <c r="DP176" s="15"/>
      <c r="DQ176" s="15"/>
      <c r="DR176" s="15"/>
      <c r="DS176" s="15"/>
      <c r="DT176" s="15"/>
      <c r="DU176" s="15"/>
      <c r="DV176" s="15"/>
      <c r="DW176" s="15"/>
      <c r="DX176" s="15"/>
      <c r="DY176" s="15"/>
      <c r="DZ176" s="15"/>
      <c r="EA176" s="15"/>
      <c r="EB176" s="15"/>
      <c r="EC176" s="15"/>
      <c r="ED176" s="15"/>
      <c r="EE176" s="15"/>
      <c r="EF176" s="15"/>
      <c r="EG176" s="15"/>
      <c r="EH176" s="15"/>
      <c r="EI176" s="15"/>
      <c r="EJ176" s="15"/>
      <c r="EK176" s="15"/>
      <c r="EL176" s="15"/>
      <c r="EM176" s="15"/>
      <c r="EN176" s="15"/>
      <c r="EO176" s="15"/>
      <c r="EP176" s="15"/>
      <c r="EQ176" s="15"/>
      <c r="ER176" s="15"/>
      <c r="ES176" s="15"/>
      <c r="ET176" s="15"/>
      <c r="EU176" s="15"/>
      <c r="EV176" s="15"/>
      <c r="EW176" s="15"/>
      <c r="EX176" s="15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</row>
    <row r="177" spans="1:245" ht="15" hidden="1">
      <c r="A177" s="83"/>
      <c r="B177" s="83"/>
      <c r="C177" s="83"/>
      <c r="D177" s="83"/>
      <c r="E177" s="83"/>
      <c r="F177" s="83"/>
      <c r="G177" s="83"/>
      <c r="H177" s="83"/>
      <c r="I177" s="83"/>
      <c r="J177" s="83"/>
      <c r="K177" s="85"/>
      <c r="L177" s="206"/>
      <c r="M177" s="85"/>
      <c r="N177" s="201"/>
      <c r="O177" s="202" t="s">
        <v>196</v>
      </c>
      <c r="P177" s="201">
        <v>0</v>
      </c>
      <c r="Q177" s="201"/>
      <c r="R177" s="201"/>
      <c r="S177" s="201"/>
      <c r="T177" s="201"/>
      <c r="U177" s="15"/>
      <c r="V177" s="15"/>
      <c r="W177" s="15"/>
      <c r="X177" s="15"/>
      <c r="Y177" s="15">
        <v>21.978855590115074</v>
      </c>
      <c r="Z177" s="15">
        <v>21.978855590115074</v>
      </c>
      <c r="AA177" s="15">
        <v>12.549444990935941</v>
      </c>
      <c r="AB177" s="15">
        <v>0</v>
      </c>
      <c r="AC177" s="15">
        <v>0.48453752902643882</v>
      </c>
      <c r="AD177" s="15">
        <v>-0.48453752902643882</v>
      </c>
      <c r="AE177" s="15">
        <v>0.59476730319551574</v>
      </c>
      <c r="AF177" s="15">
        <v>0.11022977416907692</v>
      </c>
      <c r="AG177" s="15">
        <v>83.825718752622933</v>
      </c>
      <c r="AH177" s="15">
        <v>276.17428124737705</v>
      </c>
      <c r="AI177" s="15">
        <v>1.4844449909359412</v>
      </c>
      <c r="AJ177" s="21">
        <v>3.4979205713777314E-2</v>
      </c>
      <c r="AK177" s="21">
        <v>68.441298807774203</v>
      </c>
      <c r="AL177" s="24" t="s">
        <v>196</v>
      </c>
      <c r="AM177" s="21">
        <v>276.17428124737705</v>
      </c>
      <c r="AN177" s="21">
        <v>68.441298807774203</v>
      </c>
      <c r="AO177" s="21"/>
      <c r="AP177" s="15">
        <v>207.07846273276166</v>
      </c>
      <c r="AQ177" s="15">
        <v>152.92153726723834</v>
      </c>
      <c r="AR177" s="15">
        <v>12.549444990935941</v>
      </c>
      <c r="AS177" s="15">
        <v>1</v>
      </c>
      <c r="AT177" s="15">
        <v>0.38250812680205165</v>
      </c>
      <c r="AU177" s="15">
        <v>0.38250812680205165</v>
      </c>
      <c r="AV177" s="15">
        <v>0.48900530986986879</v>
      </c>
      <c r="AW177" s="15">
        <v>0.87151343667192038</v>
      </c>
      <c r="AX177" s="15">
        <v>49.459229537684408</v>
      </c>
      <c r="AY177" s="15">
        <v>49.459229537684408</v>
      </c>
      <c r="AZ177" s="15">
        <v>1.4844449909359412</v>
      </c>
      <c r="BA177" s="21">
        <v>0.90562683324066495</v>
      </c>
      <c r="BB177" s="21">
        <v>-54.218599480306466</v>
      </c>
      <c r="BC177" s="24" t="s">
        <v>196</v>
      </c>
      <c r="BD177" s="21">
        <v>49.459229537684408</v>
      </c>
      <c r="BE177" s="21">
        <v>-54.218599480306466</v>
      </c>
      <c r="BF177" s="19"/>
      <c r="BG177" s="19"/>
      <c r="BH177" s="15"/>
      <c r="BI177" s="19"/>
      <c r="BJ177" s="15"/>
      <c r="BK177" s="19"/>
      <c r="BL177" s="15"/>
      <c r="BM177" s="19"/>
      <c r="BN177" s="19"/>
      <c r="BO177" s="19"/>
      <c r="BP177" s="19"/>
      <c r="BQ177" s="19"/>
      <c r="BR177" s="19"/>
      <c r="BS177" s="19"/>
      <c r="BT177" s="2"/>
      <c r="BU177" s="19"/>
      <c r="BV177" s="19"/>
      <c r="BW177" s="19"/>
      <c r="BX177" s="19"/>
      <c r="BY177" s="19"/>
      <c r="BZ177" s="2"/>
      <c r="CA177" s="19"/>
      <c r="CB177" s="19"/>
      <c r="CC177" s="19"/>
      <c r="CD177" s="19"/>
      <c r="CE177" s="19"/>
      <c r="CF177" s="15"/>
      <c r="CG177" s="15"/>
      <c r="CH177" s="21"/>
      <c r="CI177" s="15"/>
      <c r="CJ177" s="15"/>
      <c r="CK177" s="15"/>
      <c r="CL177" s="15"/>
      <c r="CM177" s="10"/>
      <c r="CN177" s="10"/>
      <c r="CO177" s="10"/>
      <c r="CP177" s="9"/>
      <c r="CQ177" s="10"/>
      <c r="CR177" s="10"/>
      <c r="CS177" s="10"/>
      <c r="CT177" s="10"/>
      <c r="CU177" s="10"/>
      <c r="CV177" s="10"/>
      <c r="CW177" s="10"/>
      <c r="CX177" s="10"/>
      <c r="CY177" s="10"/>
      <c r="CZ177" s="10"/>
      <c r="DA177" s="10"/>
      <c r="DB177" s="10"/>
      <c r="DC177" s="10"/>
      <c r="DD177" s="10"/>
      <c r="DE177" s="10"/>
      <c r="DF177" s="10"/>
      <c r="DG177" s="10"/>
      <c r="DH177" s="10"/>
      <c r="DI177" s="10"/>
      <c r="DJ177" s="10"/>
      <c r="DK177" s="15"/>
      <c r="DL177" s="15"/>
      <c r="DM177" s="15"/>
      <c r="DN177" s="15"/>
      <c r="DO177" s="15"/>
      <c r="DP177" s="15"/>
      <c r="DQ177" s="15"/>
      <c r="DR177" s="15"/>
      <c r="DS177" s="15"/>
      <c r="DT177" s="15"/>
      <c r="DU177" s="15"/>
      <c r="DV177" s="15"/>
      <c r="DW177" s="15"/>
      <c r="DX177" s="15"/>
      <c r="DY177" s="15"/>
      <c r="DZ177" s="15"/>
      <c r="EA177" s="15"/>
      <c r="EB177" s="15"/>
      <c r="EC177" s="15"/>
      <c r="ED177" s="15"/>
      <c r="EE177" s="15"/>
      <c r="EF177" s="15"/>
      <c r="EG177" s="15"/>
      <c r="EH177" s="15"/>
      <c r="EI177" s="15"/>
      <c r="EJ177" s="15"/>
      <c r="EK177" s="15"/>
      <c r="EL177" s="15"/>
      <c r="EM177" s="15"/>
      <c r="EN177" s="15"/>
      <c r="EO177" s="15"/>
      <c r="EP177" s="15"/>
      <c r="EQ177" s="15"/>
      <c r="ER177" s="15"/>
      <c r="ES177" s="15"/>
      <c r="ET177" s="15"/>
      <c r="EU177" s="15"/>
      <c r="EV177" s="15"/>
      <c r="EW177" s="15"/>
      <c r="EX177" s="15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</row>
    <row r="178" spans="1:245" ht="15" hidden="1">
      <c r="A178" s="83"/>
      <c r="B178" s="83"/>
      <c r="C178" s="83"/>
      <c r="D178" s="83"/>
      <c r="E178" s="83"/>
      <c r="F178" s="83"/>
      <c r="G178" s="83"/>
      <c r="H178" s="83"/>
      <c r="I178" s="83"/>
      <c r="J178" s="83"/>
      <c r="K178" s="85"/>
      <c r="L178" s="206"/>
      <c r="M178" s="85"/>
      <c r="N178" s="201"/>
      <c r="O178" s="202" t="s">
        <v>197</v>
      </c>
      <c r="P178" s="201">
        <v>0</v>
      </c>
      <c r="Q178" s="201"/>
      <c r="R178" s="201"/>
      <c r="S178" s="201"/>
      <c r="T178" s="201"/>
      <c r="U178" s="15"/>
      <c r="V178" s="15"/>
      <c r="W178" s="15"/>
      <c r="X178" s="15"/>
      <c r="Y178" s="15">
        <v>133.61480251643314</v>
      </c>
      <c r="Z178" s="15">
        <v>133.61480251643314</v>
      </c>
      <c r="AA178" s="15">
        <v>11.873121983994004</v>
      </c>
      <c r="AB178" s="15">
        <v>1</v>
      </c>
      <c r="AC178" s="15">
        <v>0.18632363243534503</v>
      </c>
      <c r="AD178" s="15">
        <v>0.18632363243534503</v>
      </c>
      <c r="AE178" s="15">
        <v>0.29039364116183569</v>
      </c>
      <c r="AF178" s="15">
        <v>0.47671727359718075</v>
      </c>
      <c r="AG178" s="15">
        <v>64.927214953624983</v>
      </c>
      <c r="AH178" s="15">
        <v>295.07278504637503</v>
      </c>
      <c r="AI178" s="15">
        <v>0.80812198399400437</v>
      </c>
      <c r="AJ178" s="21">
        <v>0.81150620280327701</v>
      </c>
      <c r="AK178" s="21">
        <v>-38.536451551095922</v>
      </c>
      <c r="AL178" s="24" t="s">
        <v>197</v>
      </c>
      <c r="AM178" s="21">
        <v>295.07278504637503</v>
      </c>
      <c r="AN178" s="21">
        <v>-38.536451551095922</v>
      </c>
      <c r="AO178" s="21"/>
      <c r="AP178" s="15">
        <v>65.861068405010656</v>
      </c>
      <c r="AQ178" s="15">
        <v>65.861068405010656</v>
      </c>
      <c r="AR178" s="15">
        <v>11.873121983994004</v>
      </c>
      <c r="AS178" s="15">
        <v>0</v>
      </c>
      <c r="AT178" s="15">
        <v>8.7636790627568961E-2</v>
      </c>
      <c r="AU178" s="15">
        <v>-8.7636790627568961E-2</v>
      </c>
      <c r="AV178" s="15">
        <v>0.23038919324377127</v>
      </c>
      <c r="AW178" s="15">
        <v>0.14275240261620231</v>
      </c>
      <c r="AX178" s="15">
        <v>82.02484623486319</v>
      </c>
      <c r="AY178" s="15">
        <v>277.97515376513684</v>
      </c>
      <c r="AZ178" s="15">
        <v>0.80812198399400437</v>
      </c>
      <c r="BA178" s="21">
        <v>0.28387560821749652</v>
      </c>
      <c r="BB178" s="21">
        <v>25.61035847365973</v>
      </c>
      <c r="BC178" s="24" t="s">
        <v>197</v>
      </c>
      <c r="BD178" s="21">
        <v>277.97515376513684</v>
      </c>
      <c r="BE178" s="21">
        <v>25.61035847365973</v>
      </c>
      <c r="BF178" s="19"/>
      <c r="BG178" s="19"/>
      <c r="BH178" s="15"/>
      <c r="BI178" s="19"/>
      <c r="BJ178" s="15"/>
      <c r="BK178" s="19"/>
      <c r="BL178" s="15"/>
      <c r="BM178" s="19"/>
      <c r="BN178" s="19"/>
      <c r="BO178" s="19"/>
      <c r="BP178" s="19"/>
      <c r="BQ178" s="19"/>
      <c r="BR178" s="19"/>
      <c r="BS178" s="19"/>
      <c r="BT178" s="2"/>
      <c r="BU178" s="19"/>
      <c r="BV178" s="19"/>
      <c r="BW178" s="19"/>
      <c r="BX178" s="19"/>
      <c r="BY178" s="19"/>
      <c r="BZ178" s="2"/>
      <c r="CA178" s="19"/>
      <c r="CB178" s="19"/>
      <c r="CC178" s="19"/>
      <c r="CD178" s="19"/>
      <c r="CE178" s="19"/>
      <c r="CF178" s="15"/>
      <c r="CG178" s="15"/>
      <c r="CH178" s="21"/>
      <c r="CI178" s="15"/>
      <c r="CJ178" s="15"/>
      <c r="CK178" s="15"/>
      <c r="CL178" s="15"/>
      <c r="CM178" s="10"/>
      <c r="CN178" s="10"/>
      <c r="CO178" s="10"/>
      <c r="CP178" s="9"/>
      <c r="CQ178" s="10"/>
      <c r="CR178" s="10"/>
      <c r="CS178" s="10"/>
      <c r="CT178" s="10"/>
      <c r="CU178" s="10"/>
      <c r="CV178" s="10"/>
      <c r="CW178" s="10"/>
      <c r="CX178" s="10"/>
      <c r="CY178" s="10"/>
      <c r="CZ178" s="10"/>
      <c r="DA178" s="10"/>
      <c r="DB178" s="10"/>
      <c r="DC178" s="10"/>
      <c r="DD178" s="10"/>
      <c r="DE178" s="10"/>
      <c r="DF178" s="10"/>
      <c r="DG178" s="10"/>
      <c r="DH178" s="10"/>
      <c r="DI178" s="10"/>
      <c r="DJ178" s="10"/>
      <c r="DK178" s="15"/>
      <c r="DL178" s="15"/>
      <c r="DM178" s="15"/>
      <c r="DN178" s="15"/>
      <c r="DO178" s="15"/>
      <c r="DP178" s="15"/>
      <c r="DQ178" s="15"/>
      <c r="DR178" s="15"/>
      <c r="DS178" s="15"/>
      <c r="DT178" s="15"/>
      <c r="DU178" s="15"/>
      <c r="DV178" s="15"/>
      <c r="DW178" s="15"/>
      <c r="DX178" s="15"/>
      <c r="DY178" s="15"/>
      <c r="DZ178" s="15"/>
      <c r="EA178" s="15"/>
      <c r="EB178" s="15"/>
      <c r="EC178" s="15"/>
      <c r="ED178" s="15"/>
      <c r="EE178" s="15"/>
      <c r="EF178" s="15"/>
      <c r="EG178" s="15"/>
      <c r="EH178" s="15"/>
      <c r="EI178" s="15"/>
      <c r="EJ178" s="15"/>
      <c r="EK178" s="15"/>
      <c r="EL178" s="15"/>
      <c r="EM178" s="15"/>
      <c r="EN178" s="15"/>
      <c r="EO178" s="15"/>
      <c r="EP178" s="15"/>
      <c r="EQ178" s="15"/>
      <c r="ER178" s="15"/>
      <c r="ES178" s="15"/>
      <c r="ET178" s="15"/>
      <c r="EU178" s="15"/>
      <c r="EV178" s="15"/>
      <c r="EW178" s="15"/>
      <c r="EX178" s="15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</row>
    <row r="179" spans="1:245" ht="15" hidden="1">
      <c r="A179" s="83"/>
      <c r="B179" s="83"/>
      <c r="C179" s="83"/>
      <c r="D179" s="83"/>
      <c r="E179" s="83"/>
      <c r="F179" s="83"/>
      <c r="G179" s="83"/>
      <c r="H179" s="83"/>
      <c r="I179" s="83"/>
      <c r="J179" s="83"/>
      <c r="K179" s="85"/>
      <c r="L179" s="206"/>
      <c r="M179" s="85"/>
      <c r="N179" s="201"/>
      <c r="O179" s="202" t="s">
        <v>198</v>
      </c>
      <c r="P179" s="201">
        <v>0</v>
      </c>
      <c r="Q179" s="201"/>
      <c r="R179" s="201"/>
      <c r="S179" s="201"/>
      <c r="T179" s="201"/>
      <c r="U179" s="15"/>
      <c r="V179" s="15"/>
      <c r="W179" s="15"/>
      <c r="X179" s="15"/>
      <c r="Y179" s="15">
        <v>207.07428465820709</v>
      </c>
      <c r="Z179" s="15">
        <v>152.92571534179291</v>
      </c>
      <c r="AA179" s="15">
        <v>-8.184448338648755</v>
      </c>
      <c r="AB179" s="15">
        <v>1</v>
      </c>
      <c r="AC179" s="15">
        <v>0.38257695506388156</v>
      </c>
      <c r="AD179" s="15">
        <v>0.38257695506388156</v>
      </c>
      <c r="AE179" s="15">
        <v>-0.31599830284197866</v>
      </c>
      <c r="AF179" s="15">
        <v>6.6578652221902901E-2</v>
      </c>
      <c r="AG179" s="15">
        <v>86.261553033114083</v>
      </c>
      <c r="AH179" s="15">
        <v>86.261553033114083</v>
      </c>
      <c r="AI179" s="15">
        <v>-19.249448338648754</v>
      </c>
      <c r="AJ179" s="21">
        <v>0.94614307118633856</v>
      </c>
      <c r="AK179" s="21">
        <v>-63.161943337165582</v>
      </c>
      <c r="AL179" s="24" t="s">
        <v>198</v>
      </c>
      <c r="AM179" s="21">
        <v>86.261553033114083</v>
      </c>
      <c r="AN179" s="21">
        <v>-63.161943337165582</v>
      </c>
      <c r="AO179" s="21"/>
      <c r="AP179" s="15">
        <v>28.139810514073176</v>
      </c>
      <c r="AQ179" s="15">
        <v>28.139810514073176</v>
      </c>
      <c r="AR179" s="15">
        <v>-8.184448338648755</v>
      </c>
      <c r="AS179" s="15">
        <v>0</v>
      </c>
      <c r="AT179" s="15">
        <v>0.36563571982534859</v>
      </c>
      <c r="AU179" s="15">
        <v>-0.36563571982534859</v>
      </c>
      <c r="AV179" s="15">
        <v>-0.30495678224507394</v>
      </c>
      <c r="AW179" s="15">
        <v>-0.67059250207042254</v>
      </c>
      <c r="AX179" s="15">
        <v>56.650036095039546</v>
      </c>
      <c r="AY179" s="15">
        <v>236.65003609503955</v>
      </c>
      <c r="AZ179" s="15">
        <v>-19.249448338648754</v>
      </c>
      <c r="BA179" s="21">
        <v>8.5364789698055193E-2</v>
      </c>
      <c r="BB179" s="21">
        <v>56.023865344744422</v>
      </c>
      <c r="BC179" s="24" t="s">
        <v>198</v>
      </c>
      <c r="BD179" s="21">
        <v>236.65003609503955</v>
      </c>
      <c r="BE179" s="21">
        <v>56.023865344744422</v>
      </c>
      <c r="BF179" s="19"/>
      <c r="BG179" s="19"/>
      <c r="BH179" s="15"/>
      <c r="BI179" s="19"/>
      <c r="BJ179" s="15"/>
      <c r="BK179" s="19"/>
      <c r="BL179" s="15"/>
      <c r="BM179" s="19"/>
      <c r="BN179" s="19"/>
      <c r="BO179" s="19"/>
      <c r="BP179" s="19"/>
      <c r="BQ179" s="19"/>
      <c r="BR179" s="19"/>
      <c r="BS179" s="19"/>
      <c r="BT179" s="2"/>
      <c r="BU179" s="19"/>
      <c r="BV179" s="19"/>
      <c r="BW179" s="19"/>
      <c r="BX179" s="19"/>
      <c r="BY179" s="19"/>
      <c r="BZ179" s="2"/>
      <c r="CA179" s="19"/>
      <c r="CB179" s="19"/>
      <c r="CC179" s="19"/>
      <c r="CD179" s="19"/>
      <c r="CE179" s="19"/>
      <c r="CF179" s="15"/>
      <c r="CG179" s="15"/>
      <c r="CH179" s="21"/>
      <c r="CI179" s="15"/>
      <c r="CJ179" s="15"/>
      <c r="CK179" s="15"/>
      <c r="CL179" s="15"/>
      <c r="CM179" s="10"/>
      <c r="CN179" s="10"/>
      <c r="CO179" s="10"/>
      <c r="CP179" s="9"/>
      <c r="CQ179" s="10"/>
      <c r="CR179" s="10"/>
      <c r="CS179" s="10"/>
      <c r="CT179" s="10"/>
      <c r="CU179" s="10"/>
      <c r="CV179" s="10"/>
      <c r="CW179" s="10"/>
      <c r="CX179" s="10"/>
      <c r="CY179" s="10"/>
      <c r="CZ179" s="10"/>
      <c r="DA179" s="10"/>
      <c r="DB179" s="10"/>
      <c r="DC179" s="10"/>
      <c r="DD179" s="10"/>
      <c r="DE179" s="10"/>
      <c r="DF179" s="10"/>
      <c r="DG179" s="10"/>
      <c r="DH179" s="10"/>
      <c r="DI179" s="10"/>
      <c r="DJ179" s="10"/>
      <c r="DK179" s="15"/>
      <c r="DL179" s="15"/>
      <c r="DM179" s="15"/>
      <c r="DN179" s="15"/>
      <c r="DO179" s="15"/>
      <c r="DP179" s="15"/>
      <c r="DQ179" s="15"/>
      <c r="DR179" s="15"/>
      <c r="DS179" s="15"/>
      <c r="DT179" s="15"/>
      <c r="DU179" s="15"/>
      <c r="DV179" s="15"/>
      <c r="DW179" s="15"/>
      <c r="DX179" s="15"/>
      <c r="DY179" s="15"/>
      <c r="DZ179" s="15"/>
      <c r="EA179" s="15"/>
      <c r="EB179" s="15"/>
      <c r="EC179" s="15"/>
      <c r="ED179" s="15"/>
      <c r="EE179" s="15"/>
      <c r="EF179" s="15"/>
      <c r="EG179" s="15"/>
      <c r="EH179" s="15"/>
      <c r="EI179" s="15"/>
      <c r="EJ179" s="15"/>
      <c r="EK179" s="15"/>
      <c r="EL179" s="15"/>
      <c r="EM179" s="15"/>
      <c r="EN179" s="15"/>
      <c r="EO179" s="15"/>
      <c r="EP179" s="15"/>
      <c r="EQ179" s="15"/>
      <c r="ER179" s="15"/>
      <c r="ES179" s="15"/>
      <c r="ET179" s="15"/>
      <c r="EU179" s="15"/>
      <c r="EV179" s="15"/>
      <c r="EW179" s="15"/>
      <c r="EX179" s="15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</row>
    <row r="180" spans="1:245" ht="15" hidden="1">
      <c r="A180" s="83"/>
      <c r="B180" s="83"/>
      <c r="C180" s="83"/>
      <c r="D180" s="83"/>
      <c r="E180" s="83"/>
      <c r="F180" s="83"/>
      <c r="G180" s="83"/>
      <c r="H180" s="83"/>
      <c r="I180" s="83"/>
      <c r="J180" s="83"/>
      <c r="K180" s="85"/>
      <c r="L180" s="206"/>
      <c r="M180" s="85"/>
      <c r="N180" s="201"/>
      <c r="O180" s="202" t="s">
        <v>199</v>
      </c>
      <c r="P180" s="201">
        <v>0</v>
      </c>
      <c r="Q180" s="201"/>
      <c r="R180" s="201"/>
      <c r="S180" s="201"/>
      <c r="T180" s="201"/>
      <c r="U180" s="15"/>
      <c r="V180" s="15"/>
      <c r="W180" s="15"/>
      <c r="X180" s="15"/>
      <c r="Y180" s="15">
        <v>65.856890330456096</v>
      </c>
      <c r="Z180" s="15">
        <v>65.856890330456096</v>
      </c>
      <c r="AA180" s="15">
        <v>-60.911437166774604</v>
      </c>
      <c r="AB180" s="15">
        <v>0</v>
      </c>
      <c r="AC180" s="15">
        <v>8.7653915351080844E-2</v>
      </c>
      <c r="AD180" s="15">
        <v>-8.7653915351080844E-2</v>
      </c>
      <c r="AE180" s="15">
        <v>-1.9697940752444736</v>
      </c>
      <c r="AF180" s="15">
        <v>-2.0574479905955543</v>
      </c>
      <c r="AG180" s="15">
        <v>26.346710923709633</v>
      </c>
      <c r="AH180" s="15">
        <v>206.34671092370962</v>
      </c>
      <c r="AI180" s="15">
        <v>-71.976437166774602</v>
      </c>
      <c r="AJ180" s="21">
        <v>0.4862817838312477</v>
      </c>
      <c r="AK180" s="21">
        <v>1.5721890661893667</v>
      </c>
      <c r="AL180" s="24" t="s">
        <v>199</v>
      </c>
      <c r="AM180" s="21">
        <v>206.34671092370962</v>
      </c>
      <c r="AN180" s="21">
        <v>1.5721890661893667</v>
      </c>
      <c r="AO180" s="21"/>
      <c r="AP180" s="15">
        <v>275.59146032582737</v>
      </c>
      <c r="AQ180" s="15">
        <v>84.40853967417263</v>
      </c>
      <c r="AR180" s="15">
        <v>-60.911437166774604</v>
      </c>
      <c r="AS180" s="15">
        <v>0</v>
      </c>
      <c r="AT180" s="15">
        <v>1.9145192707028323E-2</v>
      </c>
      <c r="AU180" s="15">
        <v>-1.9145192707028323E-2</v>
      </c>
      <c r="AV180" s="15">
        <v>-1.8060831291002462</v>
      </c>
      <c r="AW180" s="15">
        <v>-1.8252283218072745</v>
      </c>
      <c r="AX180" s="15">
        <v>29.172638458185837</v>
      </c>
      <c r="AY180" s="15">
        <v>150.82736154181416</v>
      </c>
      <c r="AZ180" s="15">
        <v>-71.976437166774602</v>
      </c>
      <c r="BA180" s="21">
        <v>0.56061343738977854</v>
      </c>
      <c r="BB180" s="21">
        <v>-6.9629142881407375</v>
      </c>
      <c r="BC180" s="24" t="s">
        <v>199</v>
      </c>
      <c r="BD180" s="21">
        <v>150.82736154181416</v>
      </c>
      <c r="BE180" s="21">
        <v>-6.9629142881407375</v>
      </c>
      <c r="BF180" s="19"/>
      <c r="BG180" s="19"/>
      <c r="BH180" s="15"/>
      <c r="BI180" s="19"/>
      <c r="BJ180" s="15"/>
      <c r="BK180" s="19"/>
      <c r="BL180" s="15"/>
      <c r="BM180" s="19"/>
      <c r="BN180" s="19"/>
      <c r="BO180" s="19"/>
      <c r="BP180" s="19"/>
      <c r="BQ180" s="19"/>
      <c r="BR180" s="19"/>
      <c r="BS180" s="19"/>
      <c r="BT180" s="2"/>
      <c r="BU180" s="19"/>
      <c r="BV180" s="19"/>
      <c r="BW180" s="19"/>
      <c r="BX180" s="19"/>
      <c r="BY180" s="19"/>
      <c r="BZ180" s="2"/>
      <c r="CA180" s="19"/>
      <c r="CB180" s="19"/>
      <c r="CC180" s="19"/>
      <c r="CD180" s="19"/>
      <c r="CE180" s="19"/>
      <c r="CF180" s="15"/>
      <c r="CG180" s="15"/>
      <c r="CH180" s="21"/>
      <c r="CI180" s="15"/>
      <c r="CJ180" s="15"/>
      <c r="CK180" s="15"/>
      <c r="CL180" s="15"/>
      <c r="CM180" s="10"/>
      <c r="CN180" s="10"/>
      <c r="CO180" s="10"/>
      <c r="CP180" s="9"/>
      <c r="CQ180" s="10"/>
      <c r="CR180" s="10"/>
      <c r="CS180" s="10"/>
      <c r="CT180" s="10"/>
      <c r="CU180" s="10"/>
      <c r="CV180" s="10"/>
      <c r="CW180" s="10"/>
      <c r="CX180" s="10"/>
      <c r="CY180" s="10"/>
      <c r="CZ180" s="10"/>
      <c r="DA180" s="10"/>
      <c r="DB180" s="10"/>
      <c r="DC180" s="10"/>
      <c r="DD180" s="10"/>
      <c r="DE180" s="10"/>
      <c r="DF180" s="10"/>
      <c r="DG180" s="10"/>
      <c r="DH180" s="10"/>
      <c r="DI180" s="10"/>
      <c r="DJ180" s="10"/>
      <c r="DK180" s="15"/>
      <c r="DL180" s="15"/>
      <c r="DM180" s="15"/>
      <c r="DN180" s="15"/>
      <c r="DO180" s="15"/>
      <c r="DP180" s="15"/>
      <c r="DQ180" s="15"/>
      <c r="DR180" s="15"/>
      <c r="DS180" s="15"/>
      <c r="DT180" s="15"/>
      <c r="DU180" s="15"/>
      <c r="DV180" s="15"/>
      <c r="DW180" s="15"/>
      <c r="DX180" s="15"/>
      <c r="DY180" s="15"/>
      <c r="DZ180" s="15"/>
      <c r="EA180" s="15"/>
      <c r="EB180" s="15"/>
      <c r="EC180" s="15"/>
      <c r="ED180" s="15"/>
      <c r="EE180" s="15"/>
      <c r="EF180" s="15"/>
      <c r="EG180" s="15"/>
      <c r="EH180" s="15"/>
      <c r="EI180" s="15"/>
      <c r="EJ180" s="15"/>
      <c r="EK180" s="15"/>
      <c r="EL180" s="15"/>
      <c r="EM180" s="15"/>
      <c r="EN180" s="15"/>
      <c r="EO180" s="15"/>
      <c r="EP180" s="15"/>
      <c r="EQ180" s="15"/>
      <c r="ER180" s="15"/>
      <c r="ES180" s="15"/>
      <c r="ET180" s="15"/>
      <c r="EU180" s="15"/>
      <c r="EV180" s="15"/>
      <c r="EW180" s="15"/>
      <c r="EX180" s="15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</row>
    <row r="181" spans="1:245" ht="15" hidden="1">
      <c r="A181" s="83"/>
      <c r="B181" s="83"/>
      <c r="C181" s="83"/>
      <c r="D181" s="83"/>
      <c r="E181" s="83"/>
      <c r="F181" s="83"/>
      <c r="G181" s="83"/>
      <c r="H181" s="83"/>
      <c r="I181" s="83"/>
      <c r="J181" s="83"/>
      <c r="K181" s="85"/>
      <c r="L181" s="206"/>
      <c r="M181" s="85"/>
      <c r="N181" s="201"/>
      <c r="O181" s="202" t="s">
        <v>200</v>
      </c>
      <c r="P181" s="201">
        <v>0</v>
      </c>
      <c r="Q181" s="201"/>
      <c r="R181" s="201"/>
      <c r="S181" s="201"/>
      <c r="T181" s="201"/>
      <c r="U181" s="15"/>
      <c r="V181" s="15"/>
      <c r="W181" s="15"/>
      <c r="X181" s="15"/>
      <c r="Y181" s="15">
        <v>28.135632439518616</v>
      </c>
      <c r="Z181" s="15">
        <v>28.135632439518616</v>
      </c>
      <c r="AA181" s="15">
        <v>-15.746681169321821</v>
      </c>
      <c r="AB181" s="15">
        <v>0</v>
      </c>
      <c r="AC181" s="15">
        <v>0.36569984005401063</v>
      </c>
      <c r="AD181" s="15">
        <v>-0.36569984005401063</v>
      </c>
      <c r="AE181" s="15">
        <v>-0.59794385779792747</v>
      </c>
      <c r="AF181" s="15">
        <v>-0.96364369785193804</v>
      </c>
      <c r="AG181" s="15">
        <v>46.597681553747847</v>
      </c>
      <c r="AH181" s="15">
        <v>226.59768155374786</v>
      </c>
      <c r="AI181" s="15">
        <v>-26.811681169321822</v>
      </c>
      <c r="AJ181" s="21">
        <v>0.10956171288934161</v>
      </c>
      <c r="AK181" s="21">
        <v>51.340903921366774</v>
      </c>
      <c r="AL181" s="24" t="s">
        <v>200</v>
      </c>
      <c r="AM181" s="21">
        <v>226.59768155374786</v>
      </c>
      <c r="AN181" s="21">
        <v>51.340903921366774</v>
      </c>
      <c r="AO181" s="21"/>
      <c r="AP181" s="15">
        <v>22.34737409390543</v>
      </c>
      <c r="AQ181" s="15">
        <v>22.34737409390543</v>
      </c>
      <c r="AR181" s="15">
        <v>-15.746681169321821</v>
      </c>
      <c r="AS181" s="15">
        <v>0</v>
      </c>
      <c r="AT181" s="15">
        <v>0.47569870709034978</v>
      </c>
      <c r="AU181" s="15">
        <v>-0.47569870709034978</v>
      </c>
      <c r="AV181" s="15">
        <v>-0.7415861282821038</v>
      </c>
      <c r="AW181" s="15">
        <v>-1.2172848353724537</v>
      </c>
      <c r="AX181" s="15">
        <v>39.931397806435662</v>
      </c>
      <c r="AY181" s="15">
        <v>219.93139780643565</v>
      </c>
      <c r="AZ181" s="15">
        <v>-26.811681169321822</v>
      </c>
      <c r="BA181" s="21">
        <v>8.9224043864227665E-2</v>
      </c>
      <c r="BB181" s="21">
        <v>55.240449216197739</v>
      </c>
      <c r="BC181" s="24" t="s">
        <v>200</v>
      </c>
      <c r="BD181" s="21">
        <v>219.93139780643565</v>
      </c>
      <c r="BE181" s="21">
        <v>55.240449216197739</v>
      </c>
      <c r="BF181" s="19"/>
      <c r="BG181" s="19"/>
      <c r="BH181" s="15"/>
      <c r="BI181" s="19"/>
      <c r="BJ181" s="15"/>
      <c r="BK181" s="19"/>
      <c r="BL181" s="15"/>
      <c r="BM181" s="19"/>
      <c r="BN181" s="19"/>
      <c r="BO181" s="19"/>
      <c r="BP181" s="19"/>
      <c r="BQ181" s="19"/>
      <c r="BR181" s="19"/>
      <c r="BS181" s="19"/>
      <c r="BT181" s="2"/>
      <c r="BU181" s="19"/>
      <c r="BV181" s="19"/>
      <c r="BW181" s="19"/>
      <c r="BX181" s="19"/>
      <c r="BY181" s="19"/>
      <c r="BZ181" s="2"/>
      <c r="CA181" s="19"/>
      <c r="CB181" s="19"/>
      <c r="CC181" s="19"/>
      <c r="CD181" s="19"/>
      <c r="CE181" s="19"/>
      <c r="CF181" s="15"/>
      <c r="CG181" s="15"/>
      <c r="CH181" s="21"/>
      <c r="CI181" s="15"/>
      <c r="CJ181" s="15"/>
      <c r="CK181" s="15"/>
      <c r="CL181" s="15"/>
      <c r="CM181" s="10"/>
      <c r="CN181" s="10"/>
      <c r="CO181" s="10"/>
      <c r="CP181" s="9"/>
      <c r="CQ181" s="10"/>
      <c r="CR181" s="10"/>
      <c r="CS181" s="10"/>
      <c r="CT181" s="10"/>
      <c r="CU181" s="10"/>
      <c r="CV181" s="10"/>
      <c r="CW181" s="10"/>
      <c r="CX181" s="10"/>
      <c r="CY181" s="10"/>
      <c r="CZ181" s="10"/>
      <c r="DA181" s="10"/>
      <c r="DB181" s="10"/>
      <c r="DC181" s="10"/>
      <c r="DD181" s="10"/>
      <c r="DE181" s="10"/>
      <c r="DF181" s="10"/>
      <c r="DG181" s="10"/>
      <c r="DH181" s="10"/>
      <c r="DI181" s="10"/>
      <c r="DJ181" s="10"/>
      <c r="DK181" s="15"/>
      <c r="DL181" s="15"/>
      <c r="DM181" s="15"/>
      <c r="DN181" s="15"/>
      <c r="DO181" s="15"/>
      <c r="DP181" s="15"/>
      <c r="DQ181" s="15"/>
      <c r="DR181" s="15"/>
      <c r="DS181" s="15"/>
      <c r="DT181" s="15"/>
      <c r="DU181" s="15"/>
      <c r="DV181" s="15"/>
      <c r="DW181" s="15"/>
      <c r="DX181" s="15"/>
      <c r="DY181" s="15"/>
      <c r="DZ181" s="15"/>
      <c r="EA181" s="15"/>
      <c r="EB181" s="15"/>
      <c r="EC181" s="15"/>
      <c r="ED181" s="15"/>
      <c r="EE181" s="15"/>
      <c r="EF181" s="15"/>
      <c r="EG181" s="15"/>
      <c r="EH181" s="15"/>
      <c r="EI181" s="15"/>
      <c r="EJ181" s="15"/>
      <c r="EK181" s="15"/>
      <c r="EL181" s="15"/>
      <c r="EM181" s="15"/>
      <c r="EN181" s="15"/>
      <c r="EO181" s="15"/>
      <c r="EP181" s="15"/>
      <c r="EQ181" s="15"/>
      <c r="ER181" s="15"/>
      <c r="ES181" s="15"/>
      <c r="ET181" s="15"/>
      <c r="EU181" s="15"/>
      <c r="EV181" s="15"/>
      <c r="EW181" s="15"/>
      <c r="EX181" s="15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</row>
    <row r="182" spans="1:245" ht="15" hidden="1">
      <c r="A182" s="83"/>
      <c r="B182" s="83"/>
      <c r="C182" s="83"/>
      <c r="D182" s="83"/>
      <c r="E182" s="83"/>
      <c r="F182" s="83"/>
      <c r="G182" s="83"/>
      <c r="H182" s="83"/>
      <c r="I182" s="83"/>
      <c r="J182" s="83"/>
      <c r="K182" s="85"/>
      <c r="L182" s="206"/>
      <c r="M182" s="85"/>
      <c r="N182" s="201"/>
      <c r="O182" s="202" t="s">
        <v>248</v>
      </c>
      <c r="P182" s="201">
        <v>1</v>
      </c>
      <c r="Q182" s="201">
        <v>86.681481163342823</v>
      </c>
      <c r="R182" s="201">
        <v>86.685658202189472</v>
      </c>
      <c r="S182" s="201">
        <v>104.86237856449111</v>
      </c>
      <c r="T182" s="201">
        <v>-22.771160759068493</v>
      </c>
      <c r="U182" s="15">
        <v>-22.771160745546528</v>
      </c>
      <c r="V182" s="15">
        <v>-22.771101768626107</v>
      </c>
      <c r="W182" s="15"/>
      <c r="X182" s="15"/>
      <c r="Y182" s="15">
        <v>10.514814496676152</v>
      </c>
      <c r="Z182" s="15">
        <v>10.514814496676152</v>
      </c>
      <c r="AA182" s="15">
        <v>-22.771160759068493</v>
      </c>
      <c r="AB182" s="15">
        <v>0</v>
      </c>
      <c r="AC182" s="15">
        <v>1.0536155591677023</v>
      </c>
      <c r="AD182" s="15">
        <v>-1.0536155591677023</v>
      </c>
      <c r="AE182" s="15">
        <v>-2.300234030792407</v>
      </c>
      <c r="AF182" s="15">
        <v>-3.3538495899601095</v>
      </c>
      <c r="AG182" s="15">
        <v>16.899446812708515</v>
      </c>
      <c r="AH182" s="15">
        <v>196.8994468127085</v>
      </c>
      <c r="AI182" s="15">
        <v>-33.836160759068491</v>
      </c>
      <c r="AJ182" s="21">
        <v>9.228118856346719E-2</v>
      </c>
      <c r="AK182" s="21">
        <v>54.630656051874873</v>
      </c>
      <c r="AL182" s="24" t="s">
        <v>248</v>
      </c>
      <c r="AM182" s="21">
        <v>196.8994468127085</v>
      </c>
      <c r="AN182" s="21">
        <v>54.630656051874873</v>
      </c>
      <c r="AO182" s="21"/>
      <c r="AP182" s="15">
        <v>10.518991535522801</v>
      </c>
      <c r="AQ182" s="15">
        <v>10.518991535522801</v>
      </c>
      <c r="AR182" s="15">
        <v>-22.771160745546528</v>
      </c>
      <c r="AS182" s="15">
        <v>0</v>
      </c>
      <c r="AT182" s="15">
        <v>1.0531876281834831</v>
      </c>
      <c r="AU182" s="15">
        <v>-1.0531876281834831</v>
      </c>
      <c r="AV182" s="15">
        <v>-2.2993308972638427</v>
      </c>
      <c r="AW182" s="15">
        <v>-3.3525185254473255</v>
      </c>
      <c r="AX182" s="15">
        <v>16.90577383103961</v>
      </c>
      <c r="AY182" s="15">
        <v>196.9057738310396</v>
      </c>
      <c r="AZ182" s="15">
        <v>-33.836160745546529</v>
      </c>
      <c r="BA182" s="21">
        <v>9.2287209218745031E-2</v>
      </c>
      <c r="BB182" s="21">
        <v>54.629464184935784</v>
      </c>
      <c r="BC182" s="24" t="s">
        <v>248</v>
      </c>
      <c r="BD182" s="21">
        <v>196.9057738310396</v>
      </c>
      <c r="BE182" s="21">
        <v>54.629464184935784</v>
      </c>
      <c r="BF182" s="19"/>
      <c r="BG182" s="19">
        <v>105.19913509731134</v>
      </c>
      <c r="BH182" s="15">
        <v>-22.771100673424886</v>
      </c>
      <c r="BI182" s="19">
        <v>105.2053720166827</v>
      </c>
      <c r="BJ182" s="15">
        <v>-22.771100653140273</v>
      </c>
      <c r="BK182" s="19">
        <v>105.20548752743184</v>
      </c>
      <c r="BL182" s="15">
        <v>-22.771100652764595</v>
      </c>
      <c r="BM182" s="19"/>
      <c r="BN182" s="19"/>
      <c r="BO182" s="19"/>
      <c r="BP182" s="19"/>
      <c r="BQ182" s="19"/>
      <c r="BR182" s="19"/>
      <c r="BS182" s="19"/>
      <c r="BT182" s="2"/>
      <c r="BU182" s="19"/>
      <c r="BV182" s="19"/>
      <c r="BW182" s="19"/>
      <c r="BX182" s="19"/>
      <c r="BY182" s="19"/>
      <c r="BZ182" s="2"/>
      <c r="CA182" s="19"/>
      <c r="CB182" s="19"/>
      <c r="CC182" s="19"/>
      <c r="CD182" s="19"/>
      <c r="CE182" s="19"/>
      <c r="CF182" s="15"/>
      <c r="CG182" s="15"/>
      <c r="CH182" s="21"/>
      <c r="CI182" s="15"/>
      <c r="CJ182" s="15"/>
      <c r="CK182" s="15"/>
      <c r="CL182" s="15"/>
      <c r="CM182" s="10"/>
      <c r="CN182" s="10"/>
      <c r="CO182" s="10"/>
      <c r="CP182" s="9"/>
      <c r="CQ182" s="10"/>
      <c r="CR182" s="10"/>
      <c r="CS182" s="10"/>
      <c r="CT182" s="10"/>
      <c r="CU182" s="10"/>
      <c r="CV182" s="10"/>
      <c r="CW182" s="10"/>
      <c r="CX182" s="10"/>
      <c r="CY182" s="10"/>
      <c r="CZ182" s="10"/>
      <c r="DA182" s="10"/>
      <c r="DB182" s="10"/>
      <c r="DC182" s="10"/>
      <c r="DD182" s="10"/>
      <c r="DE182" s="10"/>
      <c r="DF182" s="10"/>
      <c r="DG182" s="10"/>
      <c r="DH182" s="10"/>
      <c r="DI182" s="10"/>
      <c r="DJ182" s="10"/>
      <c r="DK182" s="15"/>
      <c r="DL182" s="15"/>
      <c r="DM182" s="15"/>
      <c r="DN182" s="15"/>
      <c r="DO182" s="15"/>
      <c r="DP182" s="15"/>
      <c r="DQ182" s="15"/>
      <c r="DR182" s="15"/>
      <c r="DS182" s="15"/>
      <c r="DT182" s="15"/>
      <c r="DU182" s="15"/>
      <c r="DV182" s="15"/>
      <c r="DW182" s="15"/>
      <c r="DX182" s="15"/>
      <c r="DY182" s="15"/>
      <c r="DZ182" s="15"/>
      <c r="EA182" s="15"/>
      <c r="EB182" s="15"/>
      <c r="EC182" s="15"/>
      <c r="ED182" s="15"/>
      <c r="EE182" s="15"/>
      <c r="EF182" s="15"/>
      <c r="EG182" s="15"/>
      <c r="EH182" s="15"/>
      <c r="EI182" s="15"/>
      <c r="EJ182" s="15"/>
      <c r="EK182" s="15"/>
      <c r="EL182" s="15"/>
      <c r="EM182" s="15"/>
      <c r="EN182" s="15"/>
      <c r="EO182" s="15"/>
      <c r="EP182" s="15"/>
      <c r="EQ182" s="15"/>
      <c r="ER182" s="15"/>
      <c r="ES182" s="15"/>
      <c r="ET182" s="15"/>
      <c r="EU182" s="15"/>
      <c r="EV182" s="15"/>
      <c r="EW182" s="15"/>
      <c r="EX182" s="15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</row>
    <row r="183" spans="1:245" ht="15" hidden="1">
      <c r="A183" s="83"/>
      <c r="B183" s="83"/>
      <c r="C183" s="83"/>
      <c r="D183" s="83"/>
      <c r="E183" s="83"/>
      <c r="F183" s="83"/>
      <c r="G183" s="83"/>
      <c r="H183" s="83"/>
      <c r="I183" s="83"/>
      <c r="J183" s="83"/>
      <c r="K183" s="85"/>
      <c r="L183" s="85"/>
      <c r="M183" s="85"/>
      <c r="N183" s="201"/>
      <c r="O183" s="202" t="s">
        <v>201</v>
      </c>
      <c r="P183" s="201">
        <v>0</v>
      </c>
      <c r="Q183" s="207"/>
      <c r="R183" s="201"/>
      <c r="S183" s="201"/>
      <c r="T183" s="201"/>
      <c r="U183" s="15"/>
      <c r="V183" s="15"/>
      <c r="W183" s="15"/>
      <c r="X183" s="15"/>
      <c r="Y183" s="15">
        <v>275.58728225127282</v>
      </c>
      <c r="Z183" s="15">
        <v>84.412717748727175</v>
      </c>
      <c r="AA183" s="15">
        <v>56.643724195231492</v>
      </c>
      <c r="AB183" s="15">
        <v>0</v>
      </c>
      <c r="AC183" s="15">
        <v>1.9130795823852249E-2</v>
      </c>
      <c r="AD183" s="15">
        <v>-1.9130795823852249E-2</v>
      </c>
      <c r="AE183" s="15">
        <v>1.526352513049346</v>
      </c>
      <c r="AF183" s="15">
        <v>1.5072217172254938</v>
      </c>
      <c r="AG183" s="15">
        <v>34.060263099636671</v>
      </c>
      <c r="AH183" s="15">
        <v>34.060263099636671</v>
      </c>
      <c r="AI183" s="15">
        <v>45.578724195231494</v>
      </c>
      <c r="AJ183" s="21">
        <v>0.39357733652675414</v>
      </c>
      <c r="AK183" s="21">
        <v>12.289147998935917</v>
      </c>
      <c r="AL183" s="24" t="s">
        <v>201</v>
      </c>
      <c r="AM183" s="21">
        <v>34.060263099636671</v>
      </c>
      <c r="AN183" s="21">
        <v>12.289147998935917</v>
      </c>
      <c r="AO183" s="21"/>
      <c r="AP183" s="15">
        <v>84.423830736514674</v>
      </c>
      <c r="AQ183" s="15">
        <v>84.423830736514674</v>
      </c>
      <c r="AR183" s="15">
        <v>56.643724195231492</v>
      </c>
      <c r="AS183" s="15">
        <v>0</v>
      </c>
      <c r="AT183" s="15">
        <v>1.9092503493364867E-2</v>
      </c>
      <c r="AU183" s="15">
        <v>-1.9092503493364867E-2</v>
      </c>
      <c r="AV183" s="15">
        <v>1.5263235808300692</v>
      </c>
      <c r="AW183" s="15">
        <v>1.5072310773367044</v>
      </c>
      <c r="AX183" s="15">
        <v>34.060098006696514</v>
      </c>
      <c r="AY183" s="15">
        <v>325.93990199330347</v>
      </c>
      <c r="AZ183" s="15">
        <v>45.578724195231494</v>
      </c>
      <c r="BA183" s="21">
        <v>0.39362942044991428</v>
      </c>
      <c r="BB183" s="21">
        <v>12.283039724699066</v>
      </c>
      <c r="BC183" s="24" t="s">
        <v>201</v>
      </c>
      <c r="BD183" s="21">
        <v>325.93990199330347</v>
      </c>
      <c r="BE183" s="21">
        <v>12.283039724699066</v>
      </c>
      <c r="BF183" s="2"/>
      <c r="BG183" s="2"/>
      <c r="BH183" s="15"/>
      <c r="BI183" s="2"/>
      <c r="BJ183" s="15"/>
      <c r="BK183" s="2"/>
      <c r="BL183" s="15"/>
      <c r="BM183" s="2"/>
      <c r="BN183" s="19"/>
      <c r="BO183" s="19"/>
      <c r="BP183" s="19"/>
      <c r="BQ183" s="19"/>
      <c r="BR183" s="19"/>
      <c r="BS183" s="19"/>
      <c r="BT183" s="19"/>
      <c r="BU183" s="19"/>
      <c r="BV183" s="19"/>
      <c r="BW183" s="19"/>
      <c r="BX183" s="19"/>
      <c r="BY183" s="2"/>
      <c r="BZ183" s="19"/>
      <c r="CA183" s="19"/>
      <c r="CB183" s="19"/>
      <c r="CC183" s="19"/>
      <c r="CD183" s="19"/>
      <c r="CE183" s="2"/>
      <c r="CF183" s="21"/>
      <c r="CG183" s="21"/>
      <c r="CH183" s="21"/>
      <c r="CI183" s="21"/>
      <c r="CJ183" s="21"/>
      <c r="CK183" s="15"/>
      <c r="CL183" s="15"/>
      <c r="CM183" s="21"/>
      <c r="CN183" s="15"/>
      <c r="CO183" s="15"/>
      <c r="CP183" s="15"/>
      <c r="CQ183" s="15"/>
      <c r="CR183" s="10"/>
      <c r="CS183" s="10"/>
      <c r="CT183" s="10"/>
      <c r="CU183" s="9"/>
      <c r="CV183" s="10"/>
      <c r="CW183" s="10"/>
      <c r="CX183" s="10"/>
      <c r="CY183" s="10"/>
      <c r="CZ183" s="10"/>
      <c r="DA183" s="10"/>
      <c r="DB183" s="10"/>
      <c r="DC183" s="10"/>
      <c r="DD183" s="10"/>
      <c r="DE183" s="10"/>
      <c r="DF183" s="10"/>
      <c r="DG183" s="10"/>
      <c r="DH183" s="10"/>
      <c r="DI183" s="10"/>
      <c r="DJ183" s="10"/>
      <c r="DK183" s="10"/>
      <c r="DL183" s="10"/>
      <c r="DM183" s="10"/>
      <c r="DN183" s="10"/>
      <c r="DO183" s="10"/>
      <c r="DP183" s="15"/>
      <c r="DQ183" s="15"/>
      <c r="DR183" s="15"/>
      <c r="DS183" s="15"/>
      <c r="DT183" s="15"/>
      <c r="DU183" s="15"/>
      <c r="DV183" s="15"/>
      <c r="DW183" s="15"/>
      <c r="DX183" s="15"/>
      <c r="DY183" s="15"/>
      <c r="DZ183" s="15"/>
      <c r="EA183" s="15"/>
      <c r="EB183" s="15"/>
      <c r="EC183" s="15"/>
      <c r="ED183" s="15"/>
      <c r="EE183" s="15"/>
      <c r="EF183" s="15"/>
      <c r="EG183" s="15"/>
      <c r="EH183" s="15"/>
      <c r="EI183" s="15"/>
      <c r="EJ183" s="15"/>
      <c r="EK183" s="15"/>
      <c r="EL183" s="15"/>
      <c r="EM183" s="15"/>
      <c r="EN183" s="15"/>
      <c r="EO183" s="15"/>
      <c r="EP183" s="15"/>
      <c r="EQ183" s="15"/>
      <c r="ER183" s="15"/>
      <c r="ES183" s="15"/>
      <c r="ET183" s="15"/>
      <c r="EU183" s="15"/>
      <c r="EV183" s="15"/>
      <c r="EW183" s="15"/>
      <c r="EX183" s="15"/>
      <c r="EY183" s="15"/>
      <c r="EZ183" s="15"/>
      <c r="FA183" s="15"/>
      <c r="FB183" s="15"/>
      <c r="FC183" s="15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</row>
    <row r="184" spans="1:245" ht="15" hidden="1">
      <c r="A184" s="83"/>
      <c r="B184" s="83"/>
      <c r="C184" s="83"/>
      <c r="D184" s="83"/>
      <c r="E184" s="83"/>
      <c r="F184" s="83"/>
      <c r="G184" s="83"/>
      <c r="H184" s="83"/>
      <c r="I184" s="83"/>
      <c r="J184" s="83"/>
      <c r="K184" s="85"/>
      <c r="L184" s="85"/>
      <c r="M184" s="85"/>
      <c r="N184" s="201"/>
      <c r="O184" s="202" t="s">
        <v>202</v>
      </c>
      <c r="P184" s="201">
        <v>0</v>
      </c>
      <c r="Q184" s="207"/>
      <c r="R184" s="201"/>
      <c r="S184" s="201"/>
      <c r="T184" s="201"/>
      <c r="U184" s="15"/>
      <c r="V184" s="15"/>
      <c r="W184" s="15"/>
      <c r="X184" s="15"/>
      <c r="Y184" s="15">
        <v>22.34319601935087</v>
      </c>
      <c r="Z184" s="15">
        <v>22.34319601935087</v>
      </c>
      <c r="AA184" s="15">
        <v>-37.114496762039664</v>
      </c>
      <c r="AB184" s="15">
        <v>0</v>
      </c>
      <c r="AC184" s="15">
        <v>0.47579736540694617</v>
      </c>
      <c r="AD184" s="15">
        <v>-0.47579736540694617</v>
      </c>
      <c r="AE184" s="15">
        <v>-1.9904899348965484</v>
      </c>
      <c r="AF184" s="15">
        <v>-2.4662873003034944</v>
      </c>
      <c r="AG184" s="15">
        <v>22.447876572099137</v>
      </c>
      <c r="AH184" s="15">
        <v>202.44787657209915</v>
      </c>
      <c r="AI184" s="15">
        <v>-48.179496762039662</v>
      </c>
      <c r="AJ184" s="21">
        <v>0.19597815086115092</v>
      </c>
      <c r="AK184" s="21">
        <v>37.448183638162014</v>
      </c>
      <c r="AL184" s="24" t="s">
        <v>202</v>
      </c>
      <c r="AM184" s="21">
        <v>202.44787657209915</v>
      </c>
      <c r="AN184" s="21">
        <v>37.448183638162014</v>
      </c>
      <c r="AO184" s="21"/>
      <c r="AP184" s="15">
        <v>148.7275792130074</v>
      </c>
      <c r="AQ184" s="15">
        <v>148.7275792130074</v>
      </c>
      <c r="AR184" s="15">
        <v>-37.114496762039664</v>
      </c>
      <c r="AS184" s="15">
        <v>1</v>
      </c>
      <c r="AT184" s="15">
        <v>0.32198527765466334</v>
      </c>
      <c r="AU184" s="15">
        <v>0.32198527765466334</v>
      </c>
      <c r="AV184" s="15">
        <v>-1.4576778304642735</v>
      </c>
      <c r="AW184" s="15">
        <v>-1.1356925528096102</v>
      </c>
      <c r="AX184" s="15">
        <v>41.898417930583243</v>
      </c>
      <c r="AY184" s="15">
        <v>221.89841793058324</v>
      </c>
      <c r="AZ184" s="15">
        <v>-48.179496762039662</v>
      </c>
      <c r="BA184" s="21">
        <v>0.89235454283601712</v>
      </c>
      <c r="BB184" s="21">
        <v>-51.693780245155551</v>
      </c>
      <c r="BC184" s="24" t="s">
        <v>202</v>
      </c>
      <c r="BD184" s="21">
        <v>221.89841793058324</v>
      </c>
      <c r="BE184" s="21">
        <v>-51.693780245155551</v>
      </c>
      <c r="BF184" s="2"/>
      <c r="BG184" s="2"/>
      <c r="BH184" s="15"/>
      <c r="BI184" s="2"/>
      <c r="BJ184" s="15"/>
      <c r="BK184" s="2"/>
      <c r="BL184" s="15"/>
      <c r="BM184" s="2"/>
      <c r="BN184" s="19"/>
      <c r="BO184" s="19"/>
      <c r="BP184" s="19"/>
      <c r="BQ184" s="19"/>
      <c r="BR184" s="19"/>
      <c r="BS184" s="19"/>
      <c r="BT184" s="19"/>
      <c r="BU184" s="19"/>
      <c r="BV184" s="19"/>
      <c r="BW184" s="19"/>
      <c r="BX184" s="19"/>
      <c r="BY184" s="2"/>
      <c r="BZ184" s="19"/>
      <c r="CA184" s="19"/>
      <c r="CB184" s="19"/>
      <c r="CC184" s="19"/>
      <c r="CD184" s="19"/>
      <c r="CE184" s="2"/>
      <c r="CF184" s="21"/>
      <c r="CG184" s="21"/>
      <c r="CH184" s="21"/>
      <c r="CI184" s="21"/>
      <c r="CJ184" s="21"/>
      <c r="CK184" s="15"/>
      <c r="CL184" s="15"/>
      <c r="CM184" s="21"/>
      <c r="CN184" s="15"/>
      <c r="CO184" s="15"/>
      <c r="CP184" s="15"/>
      <c r="CQ184" s="15"/>
      <c r="CR184" s="10"/>
      <c r="CS184" s="10"/>
      <c r="CT184" s="10"/>
      <c r="CU184" s="9"/>
      <c r="CV184" s="10"/>
      <c r="CW184" s="10"/>
      <c r="CX184" s="10"/>
      <c r="CY184" s="10"/>
      <c r="CZ184" s="10"/>
      <c r="DA184" s="10"/>
      <c r="DB184" s="10"/>
      <c r="DC184" s="10"/>
      <c r="DD184" s="10"/>
      <c r="DE184" s="10"/>
      <c r="DF184" s="10"/>
      <c r="DG184" s="10"/>
      <c r="DH184" s="10"/>
      <c r="DI184" s="10"/>
      <c r="DJ184" s="10"/>
      <c r="DK184" s="10"/>
      <c r="DL184" s="10"/>
      <c r="DM184" s="10"/>
      <c r="DN184" s="10"/>
      <c r="DO184" s="10"/>
      <c r="DP184" s="15"/>
      <c r="DQ184" s="15"/>
      <c r="DR184" s="15"/>
      <c r="DS184" s="15"/>
      <c r="DT184" s="15"/>
      <c r="DU184" s="15"/>
      <c r="DV184" s="15"/>
      <c r="DW184" s="15"/>
      <c r="DX184" s="15"/>
      <c r="DY184" s="15"/>
      <c r="DZ184" s="15"/>
      <c r="EA184" s="15"/>
      <c r="EB184" s="15"/>
      <c r="EC184" s="15"/>
      <c r="ED184" s="15"/>
      <c r="EE184" s="15"/>
      <c r="EF184" s="15"/>
      <c r="EG184" s="15"/>
      <c r="EH184" s="15"/>
      <c r="EI184" s="15"/>
      <c r="EJ184" s="15"/>
      <c r="EK184" s="15"/>
      <c r="EL184" s="15"/>
      <c r="EM184" s="15"/>
      <c r="EN184" s="15"/>
      <c r="EO184" s="15"/>
      <c r="EP184" s="15"/>
      <c r="EQ184" s="15"/>
      <c r="ER184" s="15"/>
      <c r="ES184" s="15"/>
      <c r="ET184" s="15"/>
      <c r="EU184" s="15"/>
      <c r="EV184" s="15"/>
      <c r="EW184" s="15"/>
      <c r="EX184" s="15"/>
      <c r="EY184" s="15"/>
      <c r="EZ184" s="15"/>
      <c r="FA184" s="15"/>
      <c r="FB184" s="15"/>
      <c r="FC184" s="15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</row>
    <row r="185" spans="1:245" ht="15" hidden="1">
      <c r="A185" s="83"/>
      <c r="B185" s="83"/>
      <c r="C185" s="83"/>
      <c r="D185" s="83"/>
      <c r="E185" s="83"/>
      <c r="F185" s="83"/>
      <c r="G185" s="83"/>
      <c r="H185" s="83"/>
      <c r="I185" s="83"/>
      <c r="J185" s="83"/>
      <c r="K185" s="85"/>
      <c r="L185" s="85"/>
      <c r="M185" s="85"/>
      <c r="N185" s="201"/>
      <c r="O185" s="202" t="s">
        <v>203</v>
      </c>
      <c r="P185" s="201">
        <v>0</v>
      </c>
      <c r="Q185" s="207"/>
      <c r="R185" s="201"/>
      <c r="S185" s="201"/>
      <c r="T185" s="201"/>
      <c r="U185" s="15"/>
      <c r="V185" s="15"/>
      <c r="W185" s="15"/>
      <c r="X185" s="15"/>
      <c r="Y185" s="15">
        <v>184.42249430609155</v>
      </c>
      <c r="Z185" s="15">
        <v>175.57750569390845</v>
      </c>
      <c r="AA185" s="15">
        <v>-16.735909636734711</v>
      </c>
      <c r="AB185" s="15">
        <v>1</v>
      </c>
      <c r="AC185" s="15">
        <v>2.5285236609762256</v>
      </c>
      <c r="AD185" s="15">
        <v>2.5285236609762256</v>
      </c>
      <c r="AE185" s="15">
        <v>-3.8995700598282408</v>
      </c>
      <c r="AF185" s="15">
        <v>-1.3710463988520152</v>
      </c>
      <c r="AG185" s="15">
        <v>36.619202774899371</v>
      </c>
      <c r="AH185" s="15">
        <v>143.38079722510062</v>
      </c>
      <c r="AI185" s="15">
        <v>-27.800909636734708</v>
      </c>
      <c r="AJ185" s="21">
        <v>0.99615377400163152</v>
      </c>
      <c r="AK185" s="21">
        <v>-82.888702949378313</v>
      </c>
      <c r="AL185" s="24" t="s">
        <v>203</v>
      </c>
      <c r="AM185" s="21">
        <v>143.38079722510062</v>
      </c>
      <c r="AN185" s="21">
        <v>-82.888702949378313</v>
      </c>
      <c r="AO185" s="21"/>
      <c r="AP185" s="15">
        <v>6.4627948441464014</v>
      </c>
      <c r="AQ185" s="15">
        <v>6.4627948441464014</v>
      </c>
      <c r="AR185" s="15">
        <v>-16.735909636734711</v>
      </c>
      <c r="AS185" s="15">
        <v>0</v>
      </c>
      <c r="AT185" s="15">
        <v>1.7263556336758377</v>
      </c>
      <c r="AU185" s="15">
        <v>-1.7263556336758377</v>
      </c>
      <c r="AV185" s="15">
        <v>-2.6714905106328657</v>
      </c>
      <c r="AW185" s="15">
        <v>-4.3978461443087031</v>
      </c>
      <c r="AX185" s="15">
        <v>13.044758130818895</v>
      </c>
      <c r="AY185" s="15">
        <v>193.04475813081891</v>
      </c>
      <c r="AZ185" s="15">
        <v>-27.800909636734708</v>
      </c>
      <c r="BA185" s="21">
        <v>6.0699482540972308E-2</v>
      </c>
      <c r="BB185" s="21">
        <v>61.474064848587304</v>
      </c>
      <c r="BC185" s="24" t="s">
        <v>203</v>
      </c>
      <c r="BD185" s="21">
        <v>193.04475813081891</v>
      </c>
      <c r="BE185" s="21">
        <v>61.474064848587304</v>
      </c>
      <c r="BF185" s="2"/>
      <c r="BG185" s="2"/>
      <c r="BH185" s="15"/>
      <c r="BI185" s="2"/>
      <c r="BJ185" s="15"/>
      <c r="BK185" s="2"/>
      <c r="BL185" s="15"/>
      <c r="BM185" s="2"/>
      <c r="BN185" s="19"/>
      <c r="BO185" s="19"/>
      <c r="BP185" s="19"/>
      <c r="BQ185" s="19"/>
      <c r="BR185" s="19"/>
      <c r="BS185" s="19"/>
      <c r="BT185" s="19"/>
      <c r="BU185" s="19"/>
      <c r="BV185" s="19"/>
      <c r="BW185" s="19"/>
      <c r="BX185" s="19"/>
      <c r="BY185" s="2"/>
      <c r="BZ185" s="19"/>
      <c r="CA185" s="19"/>
      <c r="CB185" s="19"/>
      <c r="CC185" s="19"/>
      <c r="CD185" s="19"/>
      <c r="CE185" s="2"/>
      <c r="CF185" s="21"/>
      <c r="CG185" s="21"/>
      <c r="CH185" s="21"/>
      <c r="CI185" s="21"/>
      <c r="CJ185" s="21"/>
      <c r="CK185" s="15"/>
      <c r="CL185" s="15"/>
      <c r="CM185" s="21"/>
      <c r="CN185" s="15"/>
      <c r="CO185" s="15"/>
      <c r="CP185" s="15"/>
      <c r="CQ185" s="15"/>
      <c r="CR185" s="10"/>
      <c r="CS185" s="10"/>
      <c r="CT185" s="10"/>
      <c r="CU185" s="10"/>
      <c r="CV185" s="10"/>
      <c r="CW185" s="10"/>
      <c r="CX185" s="10"/>
      <c r="CY185" s="10"/>
      <c r="CZ185" s="10"/>
      <c r="DA185" s="10"/>
      <c r="DB185" s="10"/>
      <c r="DC185" s="10"/>
      <c r="DD185" s="10"/>
      <c r="DE185" s="10"/>
      <c r="DF185" s="10"/>
      <c r="DG185" s="10"/>
      <c r="DH185" s="10"/>
      <c r="DI185" s="10"/>
      <c r="DJ185" s="10"/>
      <c r="DK185" s="10"/>
      <c r="DL185" s="10"/>
      <c r="DM185" s="10"/>
      <c r="DN185" s="10"/>
      <c r="DO185" s="10"/>
      <c r="DP185" s="15"/>
      <c r="DQ185" s="15"/>
      <c r="DR185" s="15"/>
      <c r="DS185" s="15"/>
      <c r="DT185" s="15"/>
      <c r="DU185" s="15"/>
      <c r="DV185" s="15"/>
      <c r="DW185" s="15"/>
      <c r="DX185" s="15"/>
      <c r="DY185" s="15"/>
      <c r="DZ185" s="15"/>
      <c r="EA185" s="15"/>
      <c r="EB185" s="15"/>
      <c r="EC185" s="15"/>
      <c r="ED185" s="15"/>
      <c r="EE185" s="15"/>
      <c r="EF185" s="15"/>
      <c r="EG185" s="15"/>
      <c r="EH185" s="15"/>
      <c r="EI185" s="15"/>
      <c r="EJ185" s="15"/>
      <c r="EK185" s="15"/>
      <c r="EL185" s="15"/>
      <c r="EM185" s="15"/>
      <c r="EN185" s="15"/>
      <c r="EO185" s="15"/>
      <c r="EP185" s="15"/>
      <c r="EQ185" s="15"/>
      <c r="ER185" s="15"/>
      <c r="ES185" s="15"/>
      <c r="ET185" s="15"/>
      <c r="EU185" s="15"/>
      <c r="EV185" s="15"/>
      <c r="EW185" s="15"/>
      <c r="EX185" s="15"/>
      <c r="EY185" s="15"/>
      <c r="EZ185" s="15"/>
      <c r="FA185" s="15"/>
      <c r="FB185" s="15"/>
      <c r="FC185" s="15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</row>
    <row r="186" spans="1:245" ht="15" hidden="1">
      <c r="A186" s="83"/>
      <c r="B186" s="83"/>
      <c r="C186" s="83"/>
      <c r="D186" s="83"/>
      <c r="E186" s="83"/>
      <c r="F186" s="83"/>
      <c r="G186" s="83"/>
      <c r="H186" s="83"/>
      <c r="I186" s="83"/>
      <c r="J186" s="83"/>
      <c r="K186" s="85"/>
      <c r="L186" s="85"/>
      <c r="M186" s="85"/>
      <c r="N186" s="201"/>
      <c r="O186" s="202" t="s">
        <v>204</v>
      </c>
      <c r="P186" s="201">
        <v>0</v>
      </c>
      <c r="Q186" s="201"/>
      <c r="R186" s="201"/>
      <c r="S186" s="207"/>
      <c r="T186" s="201"/>
      <c r="U186" s="15"/>
      <c r="V186" s="15"/>
      <c r="W186" s="15"/>
      <c r="X186" s="15"/>
      <c r="Y186" s="15">
        <v>84.419652661960114</v>
      </c>
      <c r="Z186" s="15">
        <v>84.419652661960114</v>
      </c>
      <c r="AA186" s="15">
        <v>-11.257069255988199</v>
      </c>
      <c r="AB186" s="15">
        <v>0</v>
      </c>
      <c r="AC186" s="15">
        <v>1.9106899830550889E-2</v>
      </c>
      <c r="AD186" s="15">
        <v>-1.9106899830550889E-2</v>
      </c>
      <c r="AE186" s="15">
        <v>-0.19998841661958816</v>
      </c>
      <c r="AF186" s="15">
        <v>-0.21909531645013905</v>
      </c>
      <c r="AG186" s="15">
        <v>77.864895670419173</v>
      </c>
      <c r="AH186" s="15">
        <v>257.86489567041917</v>
      </c>
      <c r="AI186" s="15">
        <v>-22.322069255988197</v>
      </c>
      <c r="AJ186" s="21">
        <v>0.47193383077920498</v>
      </c>
      <c r="AK186" s="21">
        <v>3.2178374127400531</v>
      </c>
      <c r="AL186" s="24" t="s">
        <v>204</v>
      </c>
      <c r="AM186" s="21">
        <v>257.86489567041917</v>
      </c>
      <c r="AN186" s="21">
        <v>3.2178374127400531</v>
      </c>
      <c r="AO186" s="15"/>
      <c r="AP186" s="15">
        <v>63.01002840926148</v>
      </c>
      <c r="AQ186" s="15">
        <v>63.01002840926148</v>
      </c>
      <c r="AR186" s="15">
        <v>-11.257069255988199</v>
      </c>
      <c r="AS186" s="15">
        <v>0</v>
      </c>
      <c r="AT186" s="15">
        <v>9.9598615049601269E-2</v>
      </c>
      <c r="AU186" s="15">
        <v>-9.9598615049601269E-2</v>
      </c>
      <c r="AV186" s="15">
        <v>-0.22336860901185565</v>
      </c>
      <c r="AW186" s="15">
        <v>-0.32296722406145695</v>
      </c>
      <c r="AX186" s="15">
        <v>72.413296142873264</v>
      </c>
      <c r="AY186" s="15">
        <v>252.41329614287326</v>
      </c>
      <c r="AZ186" s="15">
        <v>-22.322069255988197</v>
      </c>
      <c r="BA186" s="21">
        <v>0.30031828381401759</v>
      </c>
      <c r="BB186" s="21">
        <v>23.538389593560112</v>
      </c>
      <c r="BC186" s="24" t="s">
        <v>204</v>
      </c>
      <c r="BD186" s="21">
        <v>252.41329614287326</v>
      </c>
      <c r="BE186" s="21">
        <v>23.538389593560112</v>
      </c>
      <c r="BF186" s="2"/>
      <c r="BG186" s="19"/>
      <c r="BH186" s="15"/>
      <c r="BI186" s="19"/>
      <c r="BJ186" s="15"/>
      <c r="BK186" s="19"/>
      <c r="BL186" s="15"/>
      <c r="BM186" s="2"/>
      <c r="BN186" s="19"/>
      <c r="BO186" s="2"/>
      <c r="BP186" s="19"/>
      <c r="BQ186" s="19"/>
      <c r="BR186" s="19"/>
      <c r="BS186" s="19"/>
      <c r="BT186" s="19"/>
      <c r="BU186" s="19"/>
      <c r="BV186" s="19"/>
      <c r="BW186" s="19"/>
      <c r="BX186" s="19"/>
      <c r="BY186" s="19"/>
      <c r="BZ186" s="19"/>
      <c r="CA186" s="2"/>
      <c r="CB186" s="19"/>
      <c r="CC186" s="19"/>
      <c r="CD186" s="19"/>
      <c r="CE186" s="19"/>
      <c r="CF186" s="21"/>
      <c r="CG186" s="15"/>
      <c r="CH186" s="21"/>
      <c r="CI186" s="21"/>
      <c r="CJ186" s="21"/>
      <c r="CK186" s="21"/>
      <c r="CL186" s="21"/>
      <c r="CM186" s="15"/>
      <c r="CN186" s="15"/>
      <c r="CO186" s="21"/>
      <c r="CP186" s="15"/>
      <c r="CQ186" s="15"/>
      <c r="CR186" s="15"/>
      <c r="CS186" s="15"/>
      <c r="CT186" s="10"/>
      <c r="CU186" s="10"/>
      <c r="CV186" s="10"/>
      <c r="CW186" s="10"/>
      <c r="CX186" s="10"/>
      <c r="CY186" s="10"/>
      <c r="CZ186" s="10"/>
      <c r="DA186" s="10"/>
      <c r="DB186" s="10"/>
      <c r="DC186" s="10"/>
      <c r="DD186" s="10"/>
      <c r="DE186" s="10"/>
      <c r="DF186" s="10"/>
      <c r="DG186" s="10"/>
      <c r="DH186" s="10"/>
      <c r="DI186" s="10"/>
      <c r="DJ186" s="10"/>
      <c r="DK186" s="10"/>
      <c r="DL186" s="10"/>
      <c r="DM186" s="10"/>
      <c r="DN186" s="10"/>
      <c r="DO186" s="10"/>
      <c r="DP186" s="10"/>
      <c r="DQ186" s="10"/>
      <c r="DR186" s="15"/>
      <c r="DS186" s="15"/>
      <c r="DT186" s="15"/>
      <c r="DU186" s="15"/>
      <c r="DV186" s="15"/>
      <c r="DW186" s="15"/>
      <c r="DX186" s="15"/>
      <c r="DY186" s="15"/>
      <c r="DZ186" s="15"/>
      <c r="EA186" s="15"/>
      <c r="EB186" s="15"/>
      <c r="EC186" s="15"/>
      <c r="ED186" s="15"/>
      <c r="EE186" s="15"/>
      <c r="EF186" s="15"/>
      <c r="EG186" s="15"/>
      <c r="EH186" s="15"/>
      <c r="EI186" s="15"/>
      <c r="EJ186" s="15"/>
      <c r="EK186" s="15"/>
      <c r="EL186" s="15"/>
      <c r="EM186" s="15"/>
      <c r="EN186" s="15"/>
      <c r="EO186" s="15"/>
      <c r="EP186" s="15"/>
      <c r="EQ186" s="15"/>
      <c r="ER186" s="15"/>
      <c r="ES186" s="15"/>
      <c r="ET186" s="15"/>
      <c r="EU186" s="15"/>
      <c r="EV186" s="15"/>
      <c r="EW186" s="15"/>
      <c r="EX186" s="15"/>
      <c r="EY186" s="15"/>
      <c r="EZ186" s="15"/>
      <c r="FA186" s="15"/>
      <c r="FB186" s="15"/>
      <c r="FC186" s="15"/>
      <c r="FD186" s="15"/>
      <c r="FE186" s="15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</row>
    <row r="187" spans="1:245" ht="15" hidden="1">
      <c r="A187" s="83"/>
      <c r="B187" s="83"/>
      <c r="C187" s="83"/>
      <c r="D187" s="83"/>
      <c r="E187" s="83"/>
      <c r="F187" s="83"/>
      <c r="G187" s="83"/>
      <c r="H187" s="83"/>
      <c r="I187" s="83"/>
      <c r="J187" s="83"/>
      <c r="K187" s="85"/>
      <c r="L187" s="85"/>
      <c r="M187" s="85"/>
      <c r="N187" s="201"/>
      <c r="O187" s="202" t="s">
        <v>215</v>
      </c>
      <c r="P187" s="201">
        <v>0</v>
      </c>
      <c r="Q187" s="201"/>
      <c r="R187" s="201"/>
      <c r="S187" s="207"/>
      <c r="T187" s="201"/>
      <c r="U187" s="15"/>
      <c r="V187" s="15"/>
      <c r="W187" s="15"/>
      <c r="X187" s="15"/>
      <c r="Y187" s="15">
        <v>148.72340113845286</v>
      </c>
      <c r="Z187" s="15">
        <v>148.72340113845286</v>
      </c>
      <c r="AA187" s="15">
        <v>-43.507453715261001</v>
      </c>
      <c r="AB187" s="15">
        <v>1</v>
      </c>
      <c r="AC187" s="15">
        <v>0.32193236473430742</v>
      </c>
      <c r="AD187" s="15">
        <v>0.32193236473430742</v>
      </c>
      <c r="AE187" s="15">
        <v>-1.8283253782158357</v>
      </c>
      <c r="AF187" s="15">
        <v>-1.5063930134815284</v>
      </c>
      <c r="AG187" s="15">
        <v>34.074885293962474</v>
      </c>
      <c r="AH187" s="15">
        <v>214.07488529396247</v>
      </c>
      <c r="AI187" s="15">
        <v>-54.572453715260998</v>
      </c>
      <c r="AJ187" s="21">
        <v>0.87024259047200647</v>
      </c>
      <c r="AK187" s="21">
        <v>-47.772761955240583</v>
      </c>
      <c r="AL187" s="24" t="s">
        <v>215</v>
      </c>
      <c r="AM187" s="21">
        <v>214.07488529396247</v>
      </c>
      <c r="AN187" s="21">
        <v>-47.772761955240583</v>
      </c>
      <c r="AO187" s="15"/>
      <c r="AP187" s="15">
        <v>285.95595787039724</v>
      </c>
      <c r="AQ187" s="15">
        <v>74.044042129602758</v>
      </c>
      <c r="AR187" s="15">
        <v>-43.507453715261001</v>
      </c>
      <c r="AS187" s="15">
        <v>0</v>
      </c>
      <c r="AT187" s="15">
        <v>5.5912679251305719E-2</v>
      </c>
      <c r="AU187" s="15">
        <v>-5.5912679251305719E-2</v>
      </c>
      <c r="AV187" s="15">
        <v>-0.98724723005698301</v>
      </c>
      <c r="AW187" s="15">
        <v>-1.0431599093082888</v>
      </c>
      <c r="AX187" s="15">
        <v>44.327134328187825</v>
      </c>
      <c r="AY187" s="15">
        <v>135.67286567181219</v>
      </c>
      <c r="AZ187" s="15">
        <v>-54.572453715260998</v>
      </c>
      <c r="BA187" s="21">
        <v>0.46822783556488773</v>
      </c>
      <c r="BB187" s="21">
        <v>3.6432765204593665</v>
      </c>
      <c r="BC187" s="24" t="s">
        <v>215</v>
      </c>
      <c r="BD187" s="21">
        <v>135.67286567181219</v>
      </c>
      <c r="BE187" s="21">
        <v>3.6432765204593665</v>
      </c>
      <c r="BF187" s="2"/>
      <c r="BG187" s="19"/>
      <c r="BH187" s="15"/>
      <c r="BI187" s="19"/>
      <c r="BJ187" s="15"/>
      <c r="BK187" s="19"/>
      <c r="BL187" s="15"/>
      <c r="BM187" s="2"/>
      <c r="BN187" s="19"/>
      <c r="BO187" s="2"/>
      <c r="BP187" s="19"/>
      <c r="BQ187" s="19"/>
      <c r="BR187" s="19"/>
      <c r="BS187" s="19"/>
      <c r="BT187" s="19"/>
      <c r="BU187" s="19"/>
      <c r="BV187" s="19"/>
      <c r="BW187" s="19"/>
      <c r="BX187" s="19"/>
      <c r="BY187" s="19"/>
      <c r="BZ187" s="19"/>
      <c r="CA187" s="2"/>
      <c r="CB187" s="19"/>
      <c r="CC187" s="19"/>
      <c r="CD187" s="19"/>
      <c r="CE187" s="19"/>
      <c r="CF187" s="21"/>
      <c r="CG187" s="15"/>
      <c r="CH187" s="21"/>
      <c r="CI187" s="21"/>
      <c r="CJ187" s="21"/>
      <c r="CK187" s="21"/>
      <c r="CL187" s="21"/>
      <c r="CM187" s="15"/>
      <c r="CN187" s="15"/>
      <c r="CO187" s="21"/>
      <c r="CP187" s="15"/>
      <c r="CQ187" s="15"/>
      <c r="CR187" s="15"/>
      <c r="CS187" s="15"/>
      <c r="CT187" s="10"/>
      <c r="CU187" s="10"/>
      <c r="CV187" s="10"/>
      <c r="CW187" s="10"/>
      <c r="CX187" s="10"/>
      <c r="CY187" s="10"/>
      <c r="CZ187" s="10"/>
      <c r="DA187" s="10"/>
      <c r="DB187" s="10"/>
      <c r="DC187" s="10"/>
      <c r="DD187" s="10"/>
      <c r="DE187" s="10"/>
      <c r="DF187" s="10"/>
      <c r="DG187" s="10"/>
      <c r="DH187" s="10"/>
      <c r="DI187" s="10"/>
      <c r="DJ187" s="10"/>
      <c r="DK187" s="10"/>
      <c r="DL187" s="10"/>
      <c r="DM187" s="10"/>
      <c r="DN187" s="10"/>
      <c r="DO187" s="10"/>
      <c r="DP187" s="10"/>
      <c r="DQ187" s="10"/>
      <c r="DR187" s="15"/>
      <c r="DS187" s="15"/>
      <c r="DT187" s="15"/>
      <c r="DU187" s="15"/>
      <c r="DV187" s="15"/>
      <c r="DW187" s="15"/>
      <c r="DX187" s="15"/>
      <c r="DY187" s="15"/>
      <c r="DZ187" s="15"/>
      <c r="EA187" s="15"/>
      <c r="EB187" s="15"/>
      <c r="EC187" s="15"/>
      <c r="ED187" s="15"/>
      <c r="EE187" s="15"/>
      <c r="EF187" s="15"/>
      <c r="EG187" s="15"/>
      <c r="EH187" s="15"/>
      <c r="EI187" s="15"/>
      <c r="EJ187" s="15"/>
      <c r="EK187" s="15"/>
      <c r="EL187" s="15"/>
      <c r="EM187" s="15"/>
      <c r="EN187" s="15"/>
      <c r="EO187" s="15"/>
      <c r="EP187" s="15"/>
      <c r="EQ187" s="15"/>
      <c r="ER187" s="15"/>
      <c r="ES187" s="15"/>
      <c r="ET187" s="15"/>
      <c r="EU187" s="15"/>
      <c r="EV187" s="15"/>
      <c r="EW187" s="15"/>
      <c r="EX187" s="15"/>
      <c r="EY187" s="15"/>
      <c r="EZ187" s="15"/>
      <c r="FA187" s="15"/>
      <c r="FB187" s="15"/>
      <c r="FC187" s="15"/>
      <c r="FD187" s="15"/>
      <c r="FE187" s="15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</row>
    <row r="188" spans="1:245" ht="15" hidden="1">
      <c r="A188" s="83"/>
      <c r="B188" s="83"/>
      <c r="C188" s="83"/>
      <c r="D188" s="83"/>
      <c r="E188" s="83"/>
      <c r="F188" s="83"/>
      <c r="G188" s="83"/>
      <c r="H188" s="83"/>
      <c r="I188" s="83"/>
      <c r="J188" s="83"/>
      <c r="K188" s="85"/>
      <c r="L188" s="85"/>
      <c r="M188" s="85"/>
      <c r="N188" s="201"/>
      <c r="O188" s="202" t="s">
        <v>205</v>
      </c>
      <c r="P188" s="201">
        <v>0</v>
      </c>
      <c r="Q188" s="201"/>
      <c r="R188" s="201"/>
      <c r="S188" s="207"/>
      <c r="T188" s="201"/>
      <c r="U188" s="15"/>
      <c r="V188" s="15"/>
      <c r="W188" s="15"/>
      <c r="X188" s="15"/>
      <c r="Y188" s="15">
        <v>6.4586167695918419</v>
      </c>
      <c r="Z188" s="15">
        <v>6.4586167695918419</v>
      </c>
      <c r="AA188" s="15">
        <v>38.79948705406791</v>
      </c>
      <c r="AB188" s="15">
        <v>0</v>
      </c>
      <c r="AC188" s="15">
        <v>1.7274819379956492</v>
      </c>
      <c r="AD188" s="15">
        <v>-1.7274819379956492</v>
      </c>
      <c r="AE188" s="15">
        <v>7.1476369835423501</v>
      </c>
      <c r="AF188" s="15">
        <v>5.4201550455467009</v>
      </c>
      <c r="AG188" s="15">
        <v>10.646846782883847</v>
      </c>
      <c r="AH188" s="15">
        <v>349.35315321711613</v>
      </c>
      <c r="AI188" s="15">
        <v>27.734487054067912</v>
      </c>
      <c r="AJ188" s="21">
        <v>5.9870296097189551E-2</v>
      </c>
      <c r="AK188" s="21">
        <v>61.673671475132622</v>
      </c>
      <c r="AL188" s="24" t="s">
        <v>205</v>
      </c>
      <c r="AM188" s="21">
        <v>349.35315321711613</v>
      </c>
      <c r="AN188" s="21">
        <v>61.673671475132622</v>
      </c>
      <c r="AO188" s="15"/>
      <c r="AP188" s="15">
        <v>285.95595787039724</v>
      </c>
      <c r="AQ188" s="15">
        <v>74.044042129602758</v>
      </c>
      <c r="AR188" s="15">
        <v>38.79948705406791</v>
      </c>
      <c r="AS188" s="15">
        <v>0</v>
      </c>
      <c r="AT188" s="15">
        <v>5.5912679251305719E-2</v>
      </c>
      <c r="AU188" s="15">
        <v>-5.5912679251305719E-2</v>
      </c>
      <c r="AV188" s="15">
        <v>0.83622281762159811</v>
      </c>
      <c r="AW188" s="15">
        <v>0.78031013837029239</v>
      </c>
      <c r="AX188" s="15">
        <v>52.554954514823528</v>
      </c>
      <c r="AY188" s="15">
        <v>52.554954514823528</v>
      </c>
      <c r="AZ188" s="15">
        <v>27.734487054067912</v>
      </c>
      <c r="BA188" s="21">
        <v>0.33474220110111319</v>
      </c>
      <c r="BB188" s="21">
        <v>19.30007315766531</v>
      </c>
      <c r="BC188" s="24" t="s">
        <v>205</v>
      </c>
      <c r="BD188" s="21">
        <v>52.554954514823528</v>
      </c>
      <c r="BE188" s="21">
        <v>19.30007315766531</v>
      </c>
      <c r="BF188" s="2"/>
      <c r="BG188" s="19"/>
      <c r="BH188" s="15"/>
      <c r="BI188" s="19"/>
      <c r="BJ188" s="15"/>
      <c r="BK188" s="19"/>
      <c r="BL188" s="15"/>
      <c r="BM188" s="2"/>
      <c r="BN188" s="19"/>
      <c r="BO188" s="2"/>
      <c r="BP188" s="19"/>
      <c r="BQ188" s="19"/>
      <c r="BR188" s="19"/>
      <c r="BS188" s="19"/>
      <c r="BT188" s="19"/>
      <c r="BU188" s="19"/>
      <c r="BV188" s="19"/>
      <c r="BW188" s="19"/>
      <c r="BX188" s="19"/>
      <c r="BY188" s="19"/>
      <c r="BZ188" s="19"/>
      <c r="CA188" s="2"/>
      <c r="CB188" s="19"/>
      <c r="CC188" s="19"/>
      <c r="CD188" s="19"/>
      <c r="CE188" s="19"/>
      <c r="CF188" s="21"/>
      <c r="CG188" s="15"/>
      <c r="CH188" s="21"/>
      <c r="CI188" s="21"/>
      <c r="CJ188" s="21"/>
      <c r="CK188" s="21"/>
      <c r="CL188" s="21"/>
      <c r="CM188" s="15"/>
      <c r="CN188" s="15"/>
      <c r="CO188" s="21"/>
      <c r="CP188" s="15"/>
      <c r="CQ188" s="15"/>
      <c r="CR188" s="15"/>
      <c r="CS188" s="15"/>
      <c r="CT188" s="10"/>
      <c r="CU188" s="10"/>
      <c r="CV188" s="10"/>
      <c r="CW188" s="10"/>
      <c r="CX188" s="10"/>
      <c r="CY188" s="10"/>
      <c r="CZ188" s="10"/>
      <c r="DA188" s="10"/>
      <c r="DB188" s="10"/>
      <c r="DC188" s="10"/>
      <c r="DD188" s="10"/>
      <c r="DE188" s="10"/>
      <c r="DF188" s="10"/>
      <c r="DG188" s="10"/>
      <c r="DH188" s="10"/>
      <c r="DI188" s="10"/>
      <c r="DJ188" s="10"/>
      <c r="DK188" s="10"/>
      <c r="DL188" s="10"/>
      <c r="DM188" s="10"/>
      <c r="DN188" s="10"/>
      <c r="DO188" s="10"/>
      <c r="DP188" s="10"/>
      <c r="DQ188" s="10"/>
      <c r="DR188" s="15"/>
      <c r="DS188" s="15"/>
      <c r="DT188" s="15"/>
      <c r="DU188" s="15"/>
      <c r="DV188" s="15"/>
      <c r="DW188" s="15"/>
      <c r="DX188" s="15"/>
      <c r="DY188" s="15"/>
      <c r="DZ188" s="15"/>
      <c r="EA188" s="15"/>
      <c r="EB188" s="15"/>
      <c r="EC188" s="15"/>
      <c r="ED188" s="15"/>
      <c r="EE188" s="15"/>
      <c r="EF188" s="15"/>
      <c r="EG188" s="15"/>
      <c r="EH188" s="15"/>
      <c r="EI188" s="15"/>
      <c r="EJ188" s="15"/>
      <c r="EK188" s="15"/>
      <c r="EL188" s="15"/>
      <c r="EM188" s="15"/>
      <c r="EN188" s="15"/>
      <c r="EO188" s="15"/>
      <c r="EP188" s="15"/>
      <c r="EQ188" s="15"/>
      <c r="ER188" s="15"/>
      <c r="ES188" s="15"/>
      <c r="ET188" s="15"/>
      <c r="EU188" s="15"/>
      <c r="EV188" s="15"/>
      <c r="EW188" s="15"/>
      <c r="EX188" s="15"/>
      <c r="EY188" s="15"/>
      <c r="EZ188" s="15"/>
      <c r="FA188" s="15"/>
      <c r="FB188" s="15"/>
      <c r="FC188" s="15"/>
      <c r="FD188" s="15"/>
      <c r="FE188" s="15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</row>
    <row r="189" spans="1:245" ht="15" hidden="1">
      <c r="A189" s="83"/>
      <c r="B189" s="83"/>
      <c r="C189" s="83"/>
      <c r="D189" s="83"/>
      <c r="E189" s="83"/>
      <c r="F189" s="83"/>
      <c r="G189" s="83"/>
      <c r="H189" s="83"/>
      <c r="I189" s="83"/>
      <c r="J189" s="83"/>
      <c r="K189" s="85"/>
      <c r="L189" s="85"/>
      <c r="M189" s="85"/>
      <c r="N189" s="201"/>
      <c r="O189" s="202" t="s">
        <v>240</v>
      </c>
      <c r="P189" s="201">
        <v>1</v>
      </c>
      <c r="Q189" s="201">
        <v>156.55522582267622</v>
      </c>
      <c r="R189" s="201">
        <v>156.55940886775431</v>
      </c>
      <c r="S189" s="207">
        <v>174.76223391365647</v>
      </c>
      <c r="T189" s="201">
        <v>-15.878229787721308</v>
      </c>
      <c r="U189" s="15">
        <v>-15.878225011769311</v>
      </c>
      <c r="V189" s="15">
        <v>-15.857444884439333</v>
      </c>
      <c r="W189" s="15"/>
      <c r="X189" s="15"/>
      <c r="Y189" s="15">
        <v>80.388559156009549</v>
      </c>
      <c r="Z189" s="15">
        <v>80.388559156009549</v>
      </c>
      <c r="AA189" s="15">
        <v>-15.878229787721308</v>
      </c>
      <c r="AB189" s="15">
        <v>0</v>
      </c>
      <c r="AC189" s="15">
        <v>3.3116310095525119E-2</v>
      </c>
      <c r="AD189" s="15">
        <v>-3.3116310095525119E-2</v>
      </c>
      <c r="AE189" s="15">
        <v>-0.28849645069310326</v>
      </c>
      <c r="AF189" s="15">
        <v>-0.32161276078862838</v>
      </c>
      <c r="AG189" s="15">
        <v>72.482531822431469</v>
      </c>
      <c r="AH189" s="15">
        <v>252.48253182243147</v>
      </c>
      <c r="AI189" s="15">
        <v>-26.943229787721307</v>
      </c>
      <c r="AJ189" s="21">
        <v>0.44744956935989277</v>
      </c>
      <c r="AK189" s="21">
        <v>6.0329776391112091</v>
      </c>
      <c r="AL189" s="24" t="s">
        <v>240</v>
      </c>
      <c r="AM189" s="21">
        <v>252.48253182243147</v>
      </c>
      <c r="AN189" s="21">
        <v>6.0329776391112091</v>
      </c>
      <c r="AO189" s="15"/>
      <c r="AP189" s="15">
        <v>80.392742201087643</v>
      </c>
      <c r="AQ189" s="15">
        <v>80.392742201087643</v>
      </c>
      <c r="AR189" s="15">
        <v>-15.878225011769311</v>
      </c>
      <c r="AS189" s="15">
        <v>0</v>
      </c>
      <c r="AT189" s="15">
        <v>3.3101623574966779E-2</v>
      </c>
      <c r="AU189" s="15">
        <v>-3.3101623574966779E-2</v>
      </c>
      <c r="AV189" s="15">
        <v>-0.2884927933386876</v>
      </c>
      <c r="AW189" s="15">
        <v>-0.32159441691365437</v>
      </c>
      <c r="AX189" s="15">
        <v>72.483469863685812</v>
      </c>
      <c r="AY189" s="15">
        <v>252.4834698636858</v>
      </c>
      <c r="AZ189" s="15">
        <v>-26.943225011769311</v>
      </c>
      <c r="BA189" s="21">
        <v>0.4474835347505674</v>
      </c>
      <c r="BB189" s="21">
        <v>6.0290638297174155</v>
      </c>
      <c r="BC189" s="24" t="s">
        <v>240</v>
      </c>
      <c r="BD189" s="21">
        <v>252.4834698636858</v>
      </c>
      <c r="BE189" s="21">
        <v>6.0290638297174155</v>
      </c>
      <c r="BF189" s="2"/>
      <c r="BG189" s="19">
        <v>175.09947348001788</v>
      </c>
      <c r="BH189" s="15">
        <v>-15.85705994892114</v>
      </c>
      <c r="BI189" s="19">
        <v>175.10571934522989</v>
      </c>
      <c r="BJ189" s="15">
        <v>-15.857052819720462</v>
      </c>
      <c r="BK189" s="19">
        <v>175.10583502166378</v>
      </c>
      <c r="BL189" s="15">
        <v>-15.857052687682412</v>
      </c>
      <c r="BM189" s="2"/>
      <c r="BN189" s="19"/>
      <c r="BO189" s="2"/>
      <c r="BP189" s="19"/>
      <c r="BQ189" s="19"/>
      <c r="BR189" s="19"/>
      <c r="BS189" s="19"/>
      <c r="BT189" s="19"/>
      <c r="BU189" s="19"/>
      <c r="BV189" s="19"/>
      <c r="BW189" s="19"/>
      <c r="BX189" s="19"/>
      <c r="BY189" s="19"/>
      <c r="BZ189" s="19"/>
      <c r="CA189" s="2"/>
      <c r="CB189" s="19"/>
      <c r="CC189" s="19"/>
      <c r="CD189" s="19"/>
      <c r="CE189" s="19"/>
      <c r="CF189" s="21"/>
      <c r="CG189" s="15"/>
      <c r="CH189" s="21"/>
      <c r="CI189" s="21"/>
      <c r="CJ189" s="21"/>
      <c r="CK189" s="21"/>
      <c r="CL189" s="21"/>
      <c r="CM189" s="15"/>
      <c r="CN189" s="15"/>
      <c r="CO189" s="21"/>
      <c r="CP189" s="15"/>
      <c r="CQ189" s="15"/>
      <c r="CR189" s="15"/>
      <c r="CS189" s="15"/>
      <c r="CT189" s="10"/>
      <c r="CU189" s="10"/>
      <c r="CV189" s="10"/>
      <c r="CW189" s="10"/>
      <c r="CX189" s="10"/>
      <c r="CY189" s="10"/>
      <c r="CZ189" s="10"/>
      <c r="DA189" s="10"/>
      <c r="DB189" s="10"/>
      <c r="DC189" s="10"/>
      <c r="DD189" s="10"/>
      <c r="DE189" s="10"/>
      <c r="DF189" s="10"/>
      <c r="DG189" s="10"/>
      <c r="DH189" s="10"/>
      <c r="DI189" s="10"/>
      <c r="DJ189" s="10"/>
      <c r="DK189" s="10"/>
      <c r="DL189" s="10"/>
      <c r="DM189" s="10"/>
      <c r="DN189" s="10"/>
      <c r="DO189" s="10"/>
      <c r="DP189" s="10"/>
      <c r="DQ189" s="10"/>
      <c r="DR189" s="15"/>
      <c r="DS189" s="15"/>
      <c r="DT189" s="15"/>
      <c r="DU189" s="15"/>
      <c r="DV189" s="15"/>
      <c r="DW189" s="15"/>
      <c r="DX189" s="15"/>
      <c r="DY189" s="15"/>
      <c r="DZ189" s="15"/>
      <c r="EA189" s="15"/>
      <c r="EB189" s="15"/>
      <c r="EC189" s="15"/>
      <c r="ED189" s="15"/>
      <c r="EE189" s="15"/>
      <c r="EF189" s="15"/>
      <c r="EG189" s="15"/>
      <c r="EH189" s="15"/>
      <c r="EI189" s="15"/>
      <c r="EJ189" s="15"/>
      <c r="EK189" s="15"/>
      <c r="EL189" s="15"/>
      <c r="EM189" s="15"/>
      <c r="EN189" s="15"/>
      <c r="EO189" s="15"/>
      <c r="EP189" s="15"/>
      <c r="EQ189" s="15"/>
      <c r="ER189" s="15"/>
      <c r="ES189" s="15"/>
      <c r="ET189" s="15"/>
      <c r="EU189" s="15"/>
      <c r="EV189" s="15"/>
      <c r="EW189" s="15"/>
      <c r="EX189" s="15"/>
      <c r="EY189" s="15"/>
      <c r="EZ189" s="15"/>
      <c r="FA189" s="15"/>
      <c r="FB189" s="15"/>
      <c r="FC189" s="15"/>
      <c r="FD189" s="15"/>
      <c r="FE189" s="15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</row>
    <row r="190" spans="1:245" ht="15" hidden="1">
      <c r="A190" s="83"/>
      <c r="B190" s="83"/>
      <c r="C190" s="83"/>
      <c r="D190" s="83"/>
      <c r="E190" s="83"/>
      <c r="F190" s="83"/>
      <c r="G190" s="83"/>
      <c r="H190" s="83"/>
      <c r="I190" s="83"/>
      <c r="J190" s="83"/>
      <c r="K190" s="85"/>
      <c r="L190" s="85"/>
      <c r="M190" s="85"/>
      <c r="N190" s="201"/>
      <c r="O190" s="202" t="s">
        <v>206</v>
      </c>
      <c r="P190" s="201">
        <v>0</v>
      </c>
      <c r="Q190" s="201"/>
      <c r="R190" s="201"/>
      <c r="S190" s="207"/>
      <c r="T190" s="201"/>
      <c r="U190" s="15"/>
      <c r="V190" s="15"/>
      <c r="W190" s="15"/>
      <c r="X190" s="15"/>
      <c r="Y190" s="15">
        <v>63.005850334706921</v>
      </c>
      <c r="Z190" s="15">
        <v>63.005850334706921</v>
      </c>
      <c r="AA190" s="15">
        <v>-16.116368187140456</v>
      </c>
      <c r="AB190" s="15">
        <v>0</v>
      </c>
      <c r="AC190" s="15">
        <v>9.9616575028802237E-2</v>
      </c>
      <c r="AD190" s="15">
        <v>-9.9616575028802237E-2</v>
      </c>
      <c r="AE190" s="15">
        <v>-0.32427331866513015</v>
      </c>
      <c r="AF190" s="15">
        <v>-0.42388989369393237</v>
      </c>
      <c r="AG190" s="15">
        <v>67.412209978255248</v>
      </c>
      <c r="AH190" s="15">
        <v>247.41220997825525</v>
      </c>
      <c r="AI190" s="15">
        <v>-27.181368187140457</v>
      </c>
      <c r="AJ190" s="21">
        <v>0.31266035854607577</v>
      </c>
      <c r="AK190" s="21">
        <v>22.00449195383267</v>
      </c>
      <c r="AL190" s="24" t="s">
        <v>206</v>
      </c>
      <c r="AM190" s="21">
        <v>247.41220997825525</v>
      </c>
      <c r="AN190" s="21">
        <v>22.00449195383267</v>
      </c>
      <c r="AO190" s="15"/>
      <c r="AP190" s="15">
        <v>285.95595787039724</v>
      </c>
      <c r="AQ190" s="15">
        <v>74.044042129602758</v>
      </c>
      <c r="AR190" s="15">
        <v>-16.116368187140456</v>
      </c>
      <c r="AS190" s="15">
        <v>0</v>
      </c>
      <c r="AT190" s="15">
        <v>5.5912679251305719E-2</v>
      </c>
      <c r="AU190" s="15">
        <v>-5.5912679251305719E-2</v>
      </c>
      <c r="AV190" s="15">
        <v>-0.30052282924219947</v>
      </c>
      <c r="AW190" s="15">
        <v>-0.35643550849350519</v>
      </c>
      <c r="AX190" s="15">
        <v>70.719683003667242</v>
      </c>
      <c r="AY190" s="15">
        <v>109.28031699633276</v>
      </c>
      <c r="AZ190" s="15">
        <v>-27.181368187140457</v>
      </c>
      <c r="BA190" s="21">
        <v>0.39704512978831213</v>
      </c>
      <c r="BB190" s="21">
        <v>11.882759565914739</v>
      </c>
      <c r="BC190" s="24" t="s">
        <v>206</v>
      </c>
      <c r="BD190" s="21">
        <v>109.28031699633276</v>
      </c>
      <c r="BE190" s="21">
        <v>11.882759565914739</v>
      </c>
      <c r="BF190" s="2"/>
      <c r="BG190" s="19"/>
      <c r="BH190" s="2"/>
      <c r="BI190" s="2"/>
      <c r="BJ190" s="2"/>
      <c r="BK190" s="2"/>
      <c r="BL190" s="2"/>
      <c r="BM190" s="2"/>
      <c r="BN190" s="19"/>
      <c r="BO190" s="2"/>
      <c r="BP190" s="19"/>
      <c r="BQ190" s="19"/>
      <c r="BR190" s="19"/>
      <c r="BS190" s="19"/>
      <c r="BT190" s="19"/>
      <c r="BU190" s="19"/>
      <c r="BV190" s="19"/>
      <c r="BW190" s="19"/>
      <c r="BX190" s="19"/>
      <c r="BY190" s="19"/>
      <c r="BZ190" s="19"/>
      <c r="CA190" s="2"/>
      <c r="CB190" s="19"/>
      <c r="CC190" s="19"/>
      <c r="CD190" s="19"/>
      <c r="CE190" s="19"/>
      <c r="CF190" s="21"/>
      <c r="CG190" s="15"/>
      <c r="CH190" s="21"/>
      <c r="CI190" s="21"/>
      <c r="CJ190" s="21"/>
      <c r="CK190" s="21"/>
      <c r="CL190" s="21"/>
      <c r="CM190" s="15"/>
      <c r="CN190" s="15"/>
      <c r="CO190" s="21"/>
      <c r="CP190" s="15"/>
      <c r="CQ190" s="15"/>
      <c r="CR190" s="15"/>
      <c r="CS190" s="15"/>
      <c r="CT190" s="10"/>
      <c r="CU190" s="10"/>
      <c r="CV190" s="10"/>
      <c r="CW190" s="10"/>
      <c r="CX190" s="10"/>
      <c r="CY190" s="10"/>
      <c r="CZ190" s="10"/>
      <c r="DA190" s="10"/>
      <c r="DB190" s="10"/>
      <c r="DC190" s="10"/>
      <c r="DD190" s="10"/>
      <c r="DE190" s="10"/>
      <c r="DF190" s="10"/>
      <c r="DG190" s="10"/>
      <c r="DH190" s="10"/>
      <c r="DI190" s="10"/>
      <c r="DJ190" s="10"/>
      <c r="DK190" s="10"/>
      <c r="DL190" s="10"/>
      <c r="DM190" s="10"/>
      <c r="DN190" s="10"/>
      <c r="DO190" s="10"/>
      <c r="DP190" s="10"/>
      <c r="DQ190" s="10"/>
      <c r="DR190" s="15"/>
      <c r="DS190" s="15"/>
      <c r="DT190" s="15"/>
      <c r="DU190" s="15"/>
      <c r="DV190" s="15"/>
      <c r="DW190" s="15"/>
      <c r="DX190" s="15"/>
      <c r="DY190" s="15"/>
      <c r="DZ190" s="15"/>
      <c r="EA190" s="15"/>
      <c r="EB190" s="15"/>
      <c r="EC190" s="15"/>
      <c r="ED190" s="15"/>
      <c r="EE190" s="15"/>
      <c r="EF190" s="15"/>
      <c r="EG190" s="15"/>
      <c r="EH190" s="15"/>
      <c r="EI190" s="15"/>
      <c r="EJ190" s="15"/>
      <c r="EK190" s="15"/>
      <c r="EL190" s="15"/>
      <c r="EM190" s="15"/>
      <c r="EN190" s="15"/>
      <c r="EO190" s="15"/>
      <c r="EP190" s="15"/>
      <c r="EQ190" s="15"/>
      <c r="ER190" s="15"/>
      <c r="ES190" s="15"/>
      <c r="ET190" s="15"/>
      <c r="EU190" s="15"/>
      <c r="EV190" s="15"/>
      <c r="EW190" s="15"/>
      <c r="EX190" s="15"/>
      <c r="EY190" s="15"/>
      <c r="EZ190" s="15"/>
      <c r="FA190" s="15"/>
      <c r="FB190" s="15"/>
      <c r="FC190" s="15"/>
      <c r="FD190" s="15"/>
      <c r="FE190" s="15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</row>
    <row r="191" spans="1:245" ht="15" hidden="1">
      <c r="A191" s="83"/>
      <c r="B191" s="83"/>
      <c r="C191" s="83"/>
      <c r="D191" s="83"/>
      <c r="E191" s="83"/>
      <c r="F191" s="83"/>
      <c r="G191" s="83"/>
      <c r="H191" s="83"/>
      <c r="I191" s="83"/>
      <c r="J191" s="83"/>
      <c r="K191" s="85"/>
      <c r="L191" s="85"/>
      <c r="M191" s="85"/>
      <c r="N191" s="201"/>
      <c r="O191" s="202" t="s">
        <v>253</v>
      </c>
      <c r="P191" s="201"/>
      <c r="Q191" s="201">
        <v>2.1184464625093797</v>
      </c>
      <c r="R191" s="201">
        <v>2.1226245370639432</v>
      </c>
      <c r="S191" s="207">
        <v>20.303853395196519</v>
      </c>
      <c r="T191" s="201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21"/>
      <c r="AR191" s="21"/>
      <c r="AS191" s="15"/>
      <c r="AT191" s="21"/>
      <c r="AU191" s="21"/>
      <c r="AV191" s="21"/>
      <c r="AW191" s="21"/>
      <c r="AX191" s="21"/>
      <c r="AY191" s="21"/>
      <c r="AZ191" s="15"/>
      <c r="BA191" s="21"/>
      <c r="BB191" s="22"/>
      <c r="BC191" s="21"/>
      <c r="BD191" s="2"/>
      <c r="BE191" s="19"/>
      <c r="BF191" s="2"/>
      <c r="BG191" s="2"/>
      <c r="BH191" s="2"/>
      <c r="BI191" s="2"/>
      <c r="BJ191" s="2"/>
      <c r="BK191" s="19"/>
      <c r="BL191" s="2"/>
      <c r="BM191" s="19"/>
      <c r="BN191" s="2"/>
      <c r="BO191" s="19"/>
      <c r="BP191" s="19"/>
      <c r="BQ191" s="19"/>
      <c r="BR191" s="19"/>
      <c r="BS191" s="19"/>
      <c r="BT191" s="2"/>
      <c r="BU191" s="19"/>
      <c r="BV191" s="19"/>
      <c r="BW191" s="19"/>
      <c r="BX191" s="19"/>
      <c r="BY191" s="2"/>
      <c r="BZ191" s="2"/>
      <c r="CA191" s="2"/>
      <c r="CB191" s="2"/>
      <c r="CC191" s="2"/>
      <c r="CD191" s="2"/>
      <c r="CE191" s="19"/>
      <c r="CF191" s="2"/>
      <c r="CG191" s="19"/>
      <c r="CH191" s="19"/>
      <c r="CI191" s="19"/>
      <c r="CJ191" s="19"/>
      <c r="CK191" s="19"/>
      <c r="CL191" s="19"/>
      <c r="CM191" s="19"/>
      <c r="CN191" s="19"/>
      <c r="CO191" s="19"/>
      <c r="CP191" s="19"/>
      <c r="CQ191" s="19"/>
      <c r="CR191" s="2"/>
      <c r="CS191" s="19"/>
      <c r="CT191" s="19"/>
      <c r="CU191" s="19"/>
      <c r="CV191" s="19"/>
      <c r="CW191" s="21"/>
      <c r="CX191" s="15"/>
      <c r="CY191" s="21"/>
      <c r="CZ191" s="21"/>
      <c r="DA191" s="21"/>
      <c r="DB191" s="21"/>
      <c r="DC191" s="21"/>
      <c r="DD191" s="15"/>
      <c r="DE191" s="15"/>
      <c r="DF191" s="21"/>
      <c r="DG191" s="15"/>
      <c r="DH191" s="15"/>
      <c r="DI191" s="15"/>
      <c r="DJ191" s="15"/>
      <c r="DK191" s="10"/>
      <c r="DL191" s="10"/>
      <c r="DM191" s="10"/>
      <c r="DN191" s="10"/>
      <c r="DO191" s="10"/>
      <c r="DP191" s="10"/>
      <c r="DQ191" s="10"/>
      <c r="DR191" s="10"/>
      <c r="DS191" s="10"/>
      <c r="DT191" s="10"/>
      <c r="DU191" s="10"/>
      <c r="DV191" s="10"/>
      <c r="DW191" s="10"/>
      <c r="DX191" s="10"/>
      <c r="DY191" s="10"/>
      <c r="DZ191" s="10"/>
      <c r="EA191" s="10"/>
      <c r="EB191" s="10"/>
      <c r="EC191" s="10"/>
      <c r="ED191" s="10"/>
      <c r="EE191" s="10"/>
      <c r="EF191" s="10"/>
      <c r="EG191" s="10"/>
      <c r="EH191" s="10"/>
      <c r="EI191" s="15"/>
      <c r="EJ191" s="15"/>
      <c r="EK191" s="15"/>
      <c r="EL191" s="15"/>
      <c r="EM191" s="15"/>
      <c r="EN191" s="15"/>
      <c r="EO191" s="15"/>
      <c r="EP191" s="15"/>
      <c r="EQ191" s="15"/>
      <c r="ER191" s="15"/>
      <c r="ES191" s="15"/>
      <c r="ET191" s="15"/>
      <c r="EU191" s="15"/>
      <c r="EV191" s="15"/>
      <c r="EW191" s="15"/>
      <c r="EX191" s="15"/>
      <c r="EY191" s="15"/>
      <c r="EZ191" s="15"/>
      <c r="FA191" s="15"/>
      <c r="FB191" s="15"/>
      <c r="FC191" s="15"/>
      <c r="FD191" s="15"/>
      <c r="FE191" s="15"/>
      <c r="FF191" s="15"/>
      <c r="FG191" s="15"/>
      <c r="FH191" s="15"/>
      <c r="FI191" s="15"/>
      <c r="FJ191" s="15"/>
      <c r="FK191" s="15"/>
      <c r="FL191" s="15"/>
      <c r="FM191" s="15"/>
      <c r="FN191" s="15"/>
      <c r="FO191" s="15"/>
      <c r="FP191" s="15"/>
      <c r="FQ191" s="15"/>
      <c r="FR191" s="15"/>
      <c r="FS191" s="15"/>
      <c r="FT191" s="15"/>
      <c r="FU191" s="15"/>
      <c r="FV191" s="15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</row>
    <row r="192" spans="1:245" ht="15" hidden="1">
      <c r="A192" s="83"/>
      <c r="B192" s="83"/>
      <c r="C192" s="83"/>
      <c r="D192" s="83"/>
      <c r="E192" s="83"/>
      <c r="F192" s="83"/>
      <c r="G192" s="83"/>
      <c r="H192" s="83"/>
      <c r="I192" s="83"/>
      <c r="J192" s="83"/>
      <c r="K192" s="85"/>
      <c r="L192" s="85"/>
      <c r="M192" s="85"/>
      <c r="N192" s="201"/>
      <c r="O192" s="201"/>
      <c r="P192" s="201"/>
      <c r="Q192" s="201"/>
      <c r="R192" s="201"/>
      <c r="S192" s="207"/>
      <c r="T192" s="201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21"/>
      <c r="AR192" s="21"/>
      <c r="AS192" s="15"/>
      <c r="AT192" s="21"/>
      <c r="AU192" s="21"/>
      <c r="AV192" s="21"/>
      <c r="AW192" s="21"/>
      <c r="AX192" s="21"/>
      <c r="AY192" s="21"/>
      <c r="AZ192" s="15"/>
      <c r="BA192" s="21"/>
      <c r="BB192" s="22"/>
      <c r="BC192" s="21"/>
      <c r="BD192" s="2"/>
      <c r="BE192" s="19"/>
      <c r="BF192" s="2"/>
      <c r="BG192" s="2"/>
      <c r="BH192" s="2"/>
      <c r="BI192" s="2"/>
      <c r="BJ192" s="2"/>
      <c r="BK192" s="19"/>
      <c r="BL192" s="2"/>
      <c r="BM192" s="19"/>
      <c r="BN192" s="2"/>
      <c r="BO192" s="19"/>
      <c r="BP192" s="19"/>
      <c r="BQ192" s="19"/>
      <c r="BR192" s="19"/>
      <c r="BS192" s="19"/>
      <c r="BT192" s="2"/>
      <c r="BU192" s="19"/>
      <c r="BV192" s="19"/>
      <c r="BW192" s="19"/>
      <c r="BX192" s="19"/>
      <c r="BY192" s="2"/>
      <c r="BZ192" s="2"/>
      <c r="CA192" s="2"/>
      <c r="CB192" s="2"/>
      <c r="CC192" s="2"/>
      <c r="CD192" s="2"/>
      <c r="CE192" s="19"/>
      <c r="CF192" s="2"/>
      <c r="CG192" s="19"/>
      <c r="CH192" s="19"/>
      <c r="CI192" s="19"/>
      <c r="CJ192" s="19"/>
      <c r="CK192" s="19"/>
      <c r="CL192" s="19"/>
      <c r="CM192" s="19"/>
      <c r="CN192" s="19"/>
      <c r="CO192" s="19"/>
      <c r="CP192" s="19"/>
      <c r="CQ192" s="19"/>
      <c r="CR192" s="2"/>
      <c r="CS192" s="19"/>
      <c r="CT192" s="19"/>
      <c r="CU192" s="19"/>
      <c r="CV192" s="19"/>
      <c r="CW192" s="21"/>
      <c r="CX192" s="15"/>
      <c r="CY192" s="21"/>
      <c r="CZ192" s="21"/>
      <c r="DA192" s="21"/>
      <c r="DB192" s="21"/>
      <c r="DC192" s="21"/>
      <c r="DD192" s="15"/>
      <c r="DE192" s="15"/>
      <c r="DF192" s="21"/>
      <c r="DG192" s="15"/>
      <c r="DH192" s="15"/>
      <c r="DI192" s="15"/>
      <c r="DJ192" s="15"/>
      <c r="DK192" s="10"/>
      <c r="DL192" s="10"/>
      <c r="DM192" s="10"/>
      <c r="DN192" s="10"/>
      <c r="DO192" s="10"/>
      <c r="DP192" s="10"/>
      <c r="DQ192" s="10"/>
      <c r="DR192" s="10"/>
      <c r="DS192" s="10"/>
      <c r="DT192" s="10"/>
      <c r="DU192" s="10"/>
      <c r="DV192" s="10"/>
      <c r="DW192" s="10"/>
      <c r="DX192" s="10"/>
      <c r="DY192" s="10"/>
      <c r="DZ192" s="10"/>
      <c r="EA192" s="10"/>
      <c r="EB192" s="10"/>
      <c r="EC192" s="10"/>
      <c r="ED192" s="10"/>
      <c r="EE192" s="10"/>
      <c r="EF192" s="10"/>
      <c r="EG192" s="10"/>
      <c r="EH192" s="10"/>
      <c r="EI192" s="15"/>
      <c r="EJ192" s="15"/>
      <c r="EK192" s="15"/>
      <c r="EL192" s="15"/>
      <c r="EM192" s="15"/>
      <c r="EN192" s="15"/>
      <c r="EO192" s="15"/>
      <c r="EP192" s="15"/>
      <c r="EQ192" s="15"/>
      <c r="ER192" s="15"/>
      <c r="ES192" s="15"/>
      <c r="ET192" s="15"/>
      <c r="EU192" s="15"/>
      <c r="EV192" s="15"/>
      <c r="EW192" s="15"/>
      <c r="EX192" s="15"/>
      <c r="EY192" s="15"/>
      <c r="EZ192" s="15"/>
      <c r="FA192" s="15"/>
      <c r="FB192" s="15"/>
      <c r="FC192" s="15"/>
      <c r="FD192" s="15"/>
      <c r="FE192" s="15"/>
      <c r="FF192" s="15"/>
      <c r="FG192" s="15"/>
      <c r="FH192" s="15"/>
      <c r="FI192" s="15"/>
      <c r="FJ192" s="15"/>
      <c r="FK192" s="15"/>
      <c r="FL192" s="15"/>
      <c r="FM192" s="15"/>
      <c r="FN192" s="15"/>
      <c r="FO192" s="15"/>
      <c r="FP192" s="15"/>
      <c r="FQ192" s="15"/>
      <c r="FR192" s="15"/>
      <c r="FS192" s="15"/>
      <c r="FT192" s="15"/>
      <c r="FU192" s="15"/>
      <c r="FV192" s="15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</row>
    <row r="193" spans="1:245" ht="15">
      <c r="A193" s="83"/>
      <c r="B193" s="83"/>
      <c r="C193" s="83"/>
      <c r="D193" s="83"/>
      <c r="E193" s="83"/>
      <c r="F193" s="83"/>
      <c r="G193" s="83"/>
      <c r="H193" s="83"/>
      <c r="I193" s="83"/>
      <c r="J193" s="83"/>
      <c r="K193" s="85"/>
      <c r="L193" s="85"/>
      <c r="M193" s="85"/>
      <c r="N193" s="201"/>
      <c r="O193" s="201"/>
      <c r="P193" s="201"/>
      <c r="Q193" s="201"/>
      <c r="R193" s="201"/>
      <c r="S193" s="207"/>
      <c r="T193" s="201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21"/>
      <c r="AR193" s="21"/>
      <c r="AS193" s="15"/>
      <c r="AT193" s="21"/>
      <c r="AU193" s="21"/>
      <c r="AV193" s="21"/>
      <c r="AW193" s="21"/>
      <c r="AX193" s="21"/>
      <c r="AY193" s="21"/>
      <c r="AZ193" s="15"/>
      <c r="BA193" s="21"/>
      <c r="BB193" s="22"/>
      <c r="BC193" s="21"/>
      <c r="BD193" s="2"/>
      <c r="BE193" s="19"/>
      <c r="BF193" s="2"/>
      <c r="BG193" s="2"/>
      <c r="BH193" s="2"/>
      <c r="BI193" s="2"/>
      <c r="BJ193" s="2"/>
      <c r="BK193" s="19"/>
      <c r="BL193" s="2"/>
      <c r="BM193" s="19"/>
      <c r="BN193" s="2"/>
      <c r="BO193" s="19"/>
      <c r="BP193" s="19"/>
      <c r="BQ193" s="19"/>
      <c r="BR193" s="19"/>
      <c r="BS193" s="19"/>
      <c r="BT193" s="2"/>
      <c r="BU193" s="19"/>
      <c r="BV193" s="19"/>
      <c r="BW193" s="19"/>
      <c r="BX193" s="19"/>
      <c r="BY193" s="2"/>
      <c r="BZ193" s="2"/>
      <c r="CA193" s="2"/>
      <c r="CB193" s="2"/>
      <c r="CC193" s="2"/>
      <c r="CD193" s="2"/>
      <c r="CE193" s="19"/>
      <c r="CF193" s="2"/>
      <c r="CG193" s="19"/>
      <c r="CH193" s="19"/>
      <c r="CI193" s="19"/>
      <c r="CJ193" s="19"/>
      <c r="CK193" s="19"/>
      <c r="CL193" s="19"/>
      <c r="CM193" s="19"/>
      <c r="CN193" s="19"/>
      <c r="CO193" s="19"/>
      <c r="CP193" s="19"/>
      <c r="CQ193" s="19"/>
      <c r="CR193" s="2"/>
      <c r="CS193" s="19"/>
      <c r="CT193" s="19"/>
      <c r="CU193" s="19"/>
      <c r="CV193" s="19"/>
      <c r="CW193" s="21"/>
      <c r="CX193" s="15"/>
      <c r="CY193" s="21"/>
      <c r="CZ193" s="21"/>
      <c r="DA193" s="21"/>
      <c r="DB193" s="21"/>
      <c r="DC193" s="21"/>
      <c r="DD193" s="15"/>
      <c r="DE193" s="15"/>
      <c r="DF193" s="21"/>
      <c r="DG193" s="15"/>
      <c r="DH193" s="15"/>
      <c r="DI193" s="15"/>
      <c r="DJ193" s="15"/>
      <c r="DK193" s="10"/>
      <c r="DL193" s="10"/>
      <c r="DM193" s="10"/>
      <c r="DN193" s="10"/>
      <c r="DO193" s="10"/>
      <c r="DP193" s="10"/>
      <c r="DQ193" s="10"/>
      <c r="DR193" s="10"/>
      <c r="DS193" s="10"/>
      <c r="DT193" s="10"/>
      <c r="DU193" s="10"/>
      <c r="DV193" s="10"/>
      <c r="DW193" s="10"/>
      <c r="DX193" s="10"/>
      <c r="DY193" s="10"/>
      <c r="DZ193" s="10"/>
      <c r="EA193" s="10"/>
      <c r="EB193" s="10"/>
      <c r="EC193" s="10"/>
      <c r="ED193" s="10"/>
      <c r="EE193" s="10"/>
      <c r="EF193" s="10"/>
      <c r="EG193" s="10"/>
      <c r="EH193" s="10"/>
      <c r="EI193" s="15"/>
      <c r="EJ193" s="15"/>
      <c r="EK193" s="15"/>
      <c r="EL193" s="15"/>
      <c r="EM193" s="15"/>
      <c r="EN193" s="15"/>
      <c r="EO193" s="15"/>
      <c r="EP193" s="15"/>
      <c r="EQ193" s="15"/>
      <c r="ER193" s="15"/>
      <c r="ES193" s="15"/>
      <c r="ET193" s="15"/>
      <c r="EU193" s="15"/>
      <c r="EV193" s="15"/>
      <c r="EW193" s="15"/>
      <c r="EX193" s="15"/>
      <c r="EY193" s="15"/>
      <c r="EZ193" s="15"/>
      <c r="FA193" s="15"/>
      <c r="FB193" s="15"/>
      <c r="FC193" s="15"/>
      <c r="FD193" s="15"/>
      <c r="FE193" s="15"/>
      <c r="FF193" s="15"/>
      <c r="FG193" s="15"/>
      <c r="FH193" s="15"/>
      <c r="FI193" s="15"/>
      <c r="FJ193" s="15"/>
      <c r="FK193" s="15"/>
      <c r="FL193" s="15"/>
      <c r="FM193" s="15"/>
      <c r="FN193" s="15"/>
      <c r="FO193" s="15"/>
      <c r="FP193" s="15"/>
      <c r="FQ193" s="15"/>
      <c r="FR193" s="15"/>
      <c r="FS193" s="15"/>
      <c r="FT193" s="15"/>
      <c r="FU193" s="15"/>
      <c r="FV193" s="15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</row>
    <row r="194" spans="1:245" ht="15">
      <c r="A194" s="83"/>
      <c r="B194" s="83"/>
      <c r="C194" s="83"/>
      <c r="D194" s="83"/>
      <c r="E194" s="83"/>
      <c r="F194" s="83"/>
      <c r="G194" s="83"/>
      <c r="H194" s="83"/>
      <c r="I194" s="83"/>
      <c r="J194" s="83"/>
      <c r="K194" s="85"/>
      <c r="L194" s="85"/>
      <c r="M194" s="85"/>
      <c r="N194" s="85"/>
      <c r="O194" s="85"/>
      <c r="P194" s="85"/>
      <c r="Q194" s="85"/>
      <c r="R194" s="85"/>
      <c r="S194" s="206"/>
      <c r="T194" s="85"/>
      <c r="U194" s="2"/>
      <c r="V194" s="15"/>
      <c r="W194" s="2"/>
      <c r="X194" s="2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  <c r="AP194" s="15"/>
      <c r="AQ194" s="21"/>
      <c r="AR194" s="21"/>
      <c r="AS194" s="15"/>
      <c r="AT194" s="21"/>
      <c r="AU194" s="21"/>
      <c r="AV194" s="21"/>
      <c r="AW194" s="21"/>
      <c r="AX194" s="21"/>
      <c r="AY194" s="21"/>
      <c r="AZ194" s="15"/>
      <c r="BA194" s="21"/>
      <c r="BB194" s="22"/>
      <c r="BC194" s="21"/>
      <c r="BD194" s="2"/>
      <c r="BE194" s="19"/>
      <c r="BF194" s="2"/>
      <c r="BG194" s="2"/>
      <c r="BH194" s="2"/>
      <c r="BI194" s="2"/>
      <c r="BJ194" s="2"/>
      <c r="BK194" s="19"/>
      <c r="BL194" s="2"/>
      <c r="BM194" s="19"/>
      <c r="BN194" s="2"/>
      <c r="BO194" s="19"/>
      <c r="BP194" s="19"/>
      <c r="BQ194" s="19"/>
      <c r="BR194" s="19"/>
      <c r="BS194" s="19"/>
      <c r="BT194" s="2"/>
      <c r="BU194" s="19"/>
      <c r="BV194" s="19"/>
      <c r="BW194" s="19"/>
      <c r="BX194" s="19"/>
      <c r="BY194" s="2"/>
      <c r="BZ194" s="2"/>
      <c r="CA194" s="2"/>
      <c r="CB194" s="2"/>
      <c r="CC194" s="2"/>
      <c r="CD194" s="2"/>
      <c r="CE194" s="19"/>
      <c r="CF194" s="2"/>
      <c r="CG194" s="19"/>
      <c r="CH194" s="19"/>
      <c r="CI194" s="19"/>
      <c r="CJ194" s="19"/>
      <c r="CK194" s="19"/>
      <c r="CL194" s="19"/>
      <c r="CM194" s="19"/>
      <c r="CN194" s="19"/>
      <c r="CO194" s="19"/>
      <c r="CP194" s="19"/>
      <c r="CQ194" s="19"/>
      <c r="CR194" s="2"/>
      <c r="CS194" s="19"/>
      <c r="CT194" s="19"/>
      <c r="CU194" s="19"/>
      <c r="CV194" s="19"/>
      <c r="CW194" s="21"/>
      <c r="CX194" s="15"/>
      <c r="CY194" s="21"/>
      <c r="CZ194" s="21"/>
      <c r="DA194" s="21"/>
      <c r="DB194" s="21"/>
      <c r="DC194" s="21"/>
      <c r="DD194" s="15"/>
      <c r="DE194" s="15"/>
      <c r="DF194" s="21"/>
      <c r="DG194" s="15"/>
      <c r="DH194" s="15"/>
      <c r="DI194" s="15"/>
      <c r="DJ194" s="15"/>
      <c r="DK194" s="10"/>
      <c r="DL194" s="10"/>
      <c r="DM194" s="10"/>
      <c r="DN194" s="10"/>
      <c r="DO194" s="10"/>
      <c r="DP194" s="10"/>
      <c r="DQ194" s="10"/>
      <c r="DR194" s="10"/>
      <c r="DS194" s="10"/>
      <c r="DT194" s="10"/>
      <c r="DU194" s="10"/>
      <c r="DV194" s="10"/>
      <c r="DW194" s="10"/>
      <c r="DX194" s="10"/>
      <c r="DY194" s="10"/>
      <c r="DZ194" s="10"/>
      <c r="EA194" s="10"/>
      <c r="EB194" s="10"/>
      <c r="EC194" s="10"/>
      <c r="ED194" s="10"/>
      <c r="EE194" s="10"/>
      <c r="EF194" s="10"/>
      <c r="EG194" s="10"/>
      <c r="EH194" s="10"/>
      <c r="EI194" s="15"/>
      <c r="EJ194" s="15"/>
      <c r="EK194" s="15"/>
      <c r="EL194" s="15"/>
      <c r="EM194" s="15"/>
      <c r="EN194" s="15"/>
      <c r="EO194" s="15"/>
      <c r="EP194" s="15"/>
      <c r="EQ194" s="15"/>
      <c r="ER194" s="15"/>
      <c r="ES194" s="15"/>
      <c r="ET194" s="15"/>
      <c r="EU194" s="15"/>
      <c r="EV194" s="15"/>
      <c r="EW194" s="15"/>
      <c r="EX194" s="15"/>
      <c r="EY194" s="15"/>
      <c r="EZ194" s="15"/>
      <c r="FA194" s="15"/>
      <c r="FB194" s="15"/>
      <c r="FC194" s="15"/>
      <c r="FD194" s="15"/>
      <c r="FE194" s="15"/>
      <c r="FF194" s="15"/>
      <c r="FG194" s="15"/>
      <c r="FH194" s="15"/>
      <c r="FI194" s="15"/>
      <c r="FJ194" s="15"/>
      <c r="FK194" s="15"/>
      <c r="FL194" s="15"/>
      <c r="FM194" s="15"/>
      <c r="FN194" s="15"/>
      <c r="FO194" s="15"/>
      <c r="FP194" s="15"/>
      <c r="FQ194" s="15"/>
      <c r="FR194" s="15"/>
      <c r="FS194" s="15"/>
      <c r="FT194" s="15"/>
      <c r="FU194" s="15"/>
      <c r="FV194" s="15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</row>
    <row r="195" spans="1:245" ht="15">
      <c r="A195" s="83"/>
      <c r="B195" s="83"/>
      <c r="C195" s="83"/>
      <c r="D195" s="83"/>
      <c r="E195" s="83"/>
      <c r="F195" s="83"/>
      <c r="G195" s="83"/>
      <c r="H195" s="83"/>
      <c r="I195" s="83"/>
      <c r="J195" s="83"/>
      <c r="K195" s="85"/>
      <c r="L195" s="85"/>
      <c r="M195" s="85"/>
      <c r="N195" s="85"/>
      <c r="O195" s="85"/>
      <c r="P195" s="85"/>
      <c r="Q195" s="85"/>
      <c r="R195" s="85"/>
      <c r="S195" s="206"/>
      <c r="T195" s="85"/>
      <c r="U195" s="2"/>
      <c r="V195" s="15"/>
      <c r="W195" s="2"/>
      <c r="X195" s="2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21"/>
      <c r="AR195" s="21"/>
      <c r="AS195" s="15"/>
      <c r="AT195" s="21"/>
      <c r="AU195" s="21"/>
      <c r="AV195" s="21"/>
      <c r="AW195" s="21"/>
      <c r="AX195" s="21"/>
      <c r="AY195" s="21"/>
      <c r="AZ195" s="15"/>
      <c r="BA195" s="21"/>
      <c r="BB195" s="22"/>
      <c r="BC195" s="21"/>
      <c r="BD195" s="2"/>
      <c r="BE195" s="19"/>
      <c r="BF195" s="2"/>
      <c r="BG195" s="2"/>
      <c r="BH195" s="2"/>
      <c r="BI195" s="2"/>
      <c r="BJ195" s="2"/>
      <c r="BK195" s="19"/>
      <c r="BL195" s="2"/>
      <c r="BM195" s="19"/>
      <c r="BN195" s="2"/>
      <c r="BO195" s="19"/>
      <c r="BP195" s="19"/>
      <c r="BQ195" s="19"/>
      <c r="BR195" s="19"/>
      <c r="BS195" s="19"/>
      <c r="BT195" s="2"/>
      <c r="BU195" s="19"/>
      <c r="BV195" s="19"/>
      <c r="BW195" s="19"/>
      <c r="BX195" s="19"/>
      <c r="BY195" s="2"/>
      <c r="BZ195" s="2"/>
      <c r="CA195" s="2"/>
      <c r="CB195" s="2"/>
      <c r="CC195" s="2"/>
      <c r="CD195" s="2"/>
      <c r="CE195" s="19"/>
      <c r="CF195" s="2"/>
      <c r="CG195" s="19"/>
      <c r="CH195" s="19"/>
      <c r="CI195" s="19"/>
      <c r="CJ195" s="19"/>
      <c r="CK195" s="19"/>
      <c r="CL195" s="19"/>
      <c r="CM195" s="19"/>
      <c r="CN195" s="19"/>
      <c r="CO195" s="19"/>
      <c r="CP195" s="19"/>
      <c r="CQ195" s="19"/>
      <c r="CR195" s="2"/>
      <c r="CS195" s="19"/>
      <c r="CT195" s="19"/>
      <c r="CU195" s="19"/>
      <c r="CV195" s="19"/>
      <c r="CW195" s="21"/>
      <c r="CX195" s="15"/>
      <c r="CY195" s="21"/>
      <c r="CZ195" s="21"/>
      <c r="DA195" s="21"/>
      <c r="DB195" s="21"/>
      <c r="DC195" s="21"/>
      <c r="DD195" s="15"/>
      <c r="DE195" s="15"/>
      <c r="DF195" s="21"/>
      <c r="DG195" s="15"/>
      <c r="DH195" s="15"/>
      <c r="DI195" s="15"/>
      <c r="DJ195" s="15"/>
      <c r="DK195" s="10"/>
      <c r="DL195" s="10"/>
      <c r="DM195" s="10"/>
      <c r="DN195" s="10"/>
      <c r="DO195" s="10"/>
      <c r="DP195" s="10"/>
      <c r="DQ195" s="10"/>
      <c r="DR195" s="10"/>
      <c r="DS195" s="10"/>
      <c r="DT195" s="10"/>
      <c r="DU195" s="10"/>
      <c r="DV195" s="10"/>
      <c r="DW195" s="10"/>
      <c r="DX195" s="10"/>
      <c r="DY195" s="10"/>
      <c r="DZ195" s="10"/>
      <c r="EA195" s="10"/>
      <c r="EB195" s="10"/>
      <c r="EC195" s="10"/>
      <c r="ED195" s="10"/>
      <c r="EE195" s="10"/>
      <c r="EF195" s="10"/>
      <c r="EG195" s="10"/>
      <c r="EH195" s="10"/>
      <c r="EI195" s="15"/>
      <c r="EJ195" s="15"/>
      <c r="EK195" s="15"/>
      <c r="EL195" s="15"/>
      <c r="EM195" s="15"/>
      <c r="EN195" s="15"/>
      <c r="EO195" s="15"/>
      <c r="EP195" s="15"/>
      <c r="EQ195" s="15"/>
      <c r="ER195" s="15"/>
      <c r="ES195" s="15"/>
      <c r="ET195" s="15"/>
      <c r="EU195" s="15"/>
      <c r="EV195" s="15"/>
      <c r="EW195" s="15"/>
      <c r="EX195" s="15"/>
      <c r="EY195" s="15"/>
      <c r="EZ195" s="15"/>
      <c r="FA195" s="15"/>
      <c r="FB195" s="15"/>
      <c r="FC195" s="15"/>
      <c r="FD195" s="15"/>
      <c r="FE195" s="15"/>
      <c r="FF195" s="15"/>
      <c r="FG195" s="15"/>
      <c r="FH195" s="15"/>
      <c r="FI195" s="15"/>
      <c r="FJ195" s="15"/>
      <c r="FK195" s="15"/>
      <c r="FL195" s="15"/>
      <c r="FM195" s="15"/>
      <c r="FN195" s="15"/>
      <c r="FO195" s="15"/>
      <c r="FP195" s="15"/>
      <c r="FQ195" s="15"/>
      <c r="FR195" s="15"/>
      <c r="FS195" s="15"/>
      <c r="FT195" s="15"/>
      <c r="FU195" s="15"/>
      <c r="FV195" s="15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</row>
    <row r="196" spans="1:245" ht="15">
      <c r="A196" s="83"/>
      <c r="B196" s="83"/>
      <c r="C196" s="83"/>
      <c r="D196" s="83"/>
      <c r="E196" s="83"/>
      <c r="F196" s="83"/>
      <c r="G196" s="83"/>
      <c r="H196" s="83"/>
      <c r="I196" s="83"/>
      <c r="J196" s="83"/>
      <c r="K196" s="85"/>
      <c r="L196" s="85"/>
      <c r="M196" s="85"/>
      <c r="N196" s="85"/>
      <c r="O196" s="85"/>
      <c r="P196" s="85"/>
      <c r="Q196" s="85"/>
      <c r="R196" s="85"/>
      <c r="S196" s="206"/>
      <c r="T196" s="85"/>
      <c r="U196" s="2"/>
      <c r="V196" s="15"/>
      <c r="W196" s="2"/>
      <c r="X196" s="2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  <c r="AP196" s="15"/>
      <c r="AQ196" s="21"/>
      <c r="AR196" s="21"/>
      <c r="AS196" s="15"/>
      <c r="AT196" s="21"/>
      <c r="AU196" s="21"/>
      <c r="AV196" s="21"/>
      <c r="AW196" s="21"/>
      <c r="AX196" s="21"/>
      <c r="AY196" s="21"/>
      <c r="AZ196" s="15"/>
      <c r="BA196" s="21"/>
      <c r="BB196" s="22"/>
      <c r="BC196" s="21"/>
      <c r="BD196" s="2"/>
      <c r="BE196" s="19"/>
      <c r="BF196" s="2"/>
      <c r="BG196" s="2"/>
      <c r="BH196" s="2"/>
      <c r="BI196" s="2"/>
      <c r="BJ196" s="2"/>
      <c r="BK196" s="19"/>
      <c r="BL196" s="2"/>
      <c r="BM196" s="19"/>
      <c r="BN196" s="2"/>
      <c r="BO196" s="19"/>
      <c r="BP196" s="19"/>
      <c r="BQ196" s="19"/>
      <c r="BR196" s="19"/>
      <c r="BS196" s="19"/>
      <c r="BT196" s="2"/>
      <c r="BU196" s="19"/>
      <c r="BV196" s="19"/>
      <c r="BW196" s="19"/>
      <c r="BX196" s="19"/>
      <c r="BY196" s="2"/>
      <c r="BZ196" s="2"/>
      <c r="CA196" s="2"/>
      <c r="CB196" s="2"/>
      <c r="CC196" s="2"/>
      <c r="CD196" s="2"/>
      <c r="CE196" s="19"/>
      <c r="CF196" s="2"/>
      <c r="CG196" s="19"/>
      <c r="CH196" s="19"/>
      <c r="CI196" s="19"/>
      <c r="CJ196" s="19"/>
      <c r="CK196" s="19"/>
      <c r="CL196" s="19"/>
      <c r="CM196" s="19"/>
      <c r="CN196" s="19"/>
      <c r="CO196" s="19"/>
      <c r="CP196" s="19"/>
      <c r="CQ196" s="19"/>
      <c r="CR196" s="2"/>
      <c r="CS196" s="19"/>
      <c r="CT196" s="19"/>
      <c r="CU196" s="19"/>
      <c r="CV196" s="19"/>
      <c r="CW196" s="21"/>
      <c r="CX196" s="15"/>
      <c r="CY196" s="21"/>
      <c r="CZ196" s="21"/>
      <c r="DA196" s="21"/>
      <c r="DB196" s="21"/>
      <c r="DC196" s="21"/>
      <c r="DD196" s="15"/>
      <c r="DE196" s="15"/>
      <c r="DF196" s="21"/>
      <c r="DG196" s="15"/>
      <c r="DH196" s="15"/>
      <c r="DI196" s="15"/>
      <c r="DJ196" s="15"/>
      <c r="DK196" s="10"/>
      <c r="DL196" s="10"/>
      <c r="DM196" s="10"/>
      <c r="DN196" s="10"/>
      <c r="DO196" s="10"/>
      <c r="DP196" s="10"/>
      <c r="DQ196" s="10"/>
      <c r="DR196" s="10"/>
      <c r="DS196" s="10"/>
      <c r="DT196" s="10"/>
      <c r="DU196" s="10"/>
      <c r="DV196" s="10"/>
      <c r="DW196" s="10"/>
      <c r="DX196" s="10"/>
      <c r="DY196" s="10"/>
      <c r="DZ196" s="10"/>
      <c r="EA196" s="10"/>
      <c r="EB196" s="10"/>
      <c r="EC196" s="10"/>
      <c r="ED196" s="10"/>
      <c r="EE196" s="10"/>
      <c r="EF196" s="10"/>
      <c r="EG196" s="10"/>
      <c r="EH196" s="10"/>
      <c r="EI196" s="15"/>
      <c r="EJ196" s="15"/>
      <c r="EK196" s="15"/>
      <c r="EL196" s="15"/>
      <c r="EM196" s="15"/>
      <c r="EN196" s="15"/>
      <c r="EO196" s="15"/>
      <c r="EP196" s="15"/>
      <c r="EQ196" s="15"/>
      <c r="ER196" s="15"/>
      <c r="ES196" s="15"/>
      <c r="ET196" s="15"/>
      <c r="EU196" s="15"/>
      <c r="EV196" s="15"/>
      <c r="EW196" s="15"/>
      <c r="EX196" s="15"/>
      <c r="EY196" s="15"/>
      <c r="EZ196" s="15"/>
      <c r="FA196" s="15"/>
      <c r="FB196" s="15"/>
      <c r="FC196" s="15"/>
      <c r="FD196" s="15"/>
      <c r="FE196" s="15"/>
      <c r="FF196" s="15"/>
      <c r="FG196" s="15"/>
      <c r="FH196" s="15"/>
      <c r="FI196" s="15"/>
      <c r="FJ196" s="15"/>
      <c r="FK196" s="15"/>
      <c r="FL196" s="15"/>
      <c r="FM196" s="15"/>
      <c r="FN196" s="15"/>
      <c r="FO196" s="15"/>
      <c r="FP196" s="15"/>
      <c r="FQ196" s="15"/>
      <c r="FR196" s="15"/>
      <c r="FS196" s="15"/>
      <c r="FT196" s="15"/>
      <c r="FU196" s="15"/>
      <c r="FV196" s="15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</row>
    <row r="197" spans="1:245" ht="15">
      <c r="A197" s="83"/>
      <c r="B197" s="83"/>
      <c r="C197" s="83"/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</row>
    <row r="198" spans="1:245" ht="15">
      <c r="A198" s="83"/>
      <c r="B198" s="83"/>
      <c r="C198" s="83"/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</row>
    <row r="199" spans="1:245" ht="15">
      <c r="A199" s="83"/>
      <c r="B199" s="83"/>
      <c r="C199" s="83"/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/>
    </row>
  </sheetData>
  <sheetProtection password="CF7A" sheet="1" objects="1" scenarios="1" selectLockedCells="1"/>
  <mergeCells count="43">
    <mergeCell ref="P8:Q8"/>
    <mergeCell ref="P9:Q9"/>
    <mergeCell ref="B3:C3"/>
    <mergeCell ref="D3:F3"/>
    <mergeCell ref="N3:T4"/>
    <mergeCell ref="B5:C5"/>
    <mergeCell ref="N5:O6"/>
    <mergeCell ref="P5:Q5"/>
    <mergeCell ref="H6:I6"/>
    <mergeCell ref="J6:L6"/>
    <mergeCell ref="P6:Q6"/>
    <mergeCell ref="B7:C7"/>
    <mergeCell ref="D7:F7"/>
    <mergeCell ref="H8:I8"/>
    <mergeCell ref="J8:L8"/>
    <mergeCell ref="N8:O9"/>
    <mergeCell ref="K18:K19"/>
    <mergeCell ref="M18:M19"/>
    <mergeCell ref="H10:I10"/>
    <mergeCell ref="J10:L10"/>
    <mergeCell ref="B11:C11"/>
    <mergeCell ref="G13:G14"/>
    <mergeCell ref="G15:G16"/>
    <mergeCell ref="H15:H16"/>
    <mergeCell ref="I15:I16"/>
    <mergeCell ref="J15:J16"/>
    <mergeCell ref="K15:K16"/>
    <mergeCell ref="AI98:BC98"/>
    <mergeCell ref="DD98:EJ98"/>
    <mergeCell ref="EK98:FQ98"/>
    <mergeCell ref="FR98:GZ98"/>
    <mergeCell ref="B1:T1"/>
    <mergeCell ref="G21:G22"/>
    <mergeCell ref="H21:H22"/>
    <mergeCell ref="I21:I22"/>
    <mergeCell ref="J21:J22"/>
    <mergeCell ref="K21:K22"/>
    <mergeCell ref="M21:M22"/>
    <mergeCell ref="M15:M16"/>
    <mergeCell ref="G18:G19"/>
    <mergeCell ref="H18:H19"/>
    <mergeCell ref="I18:I19"/>
    <mergeCell ref="J18:J19"/>
  </mergeCells>
  <dataValidations count="1">
    <dataValidation type="list" allowBlank="1" showInputMessage="1" showErrorMessage="1" sqref="J10:L10" xr:uid="{00000000-0002-0000-0400-000000000000}">
      <formula1>$A$31:$A$93</formula1>
    </dataValidation>
  </dataValidations>
  <pageMargins left="0.7" right="0.7" top="0.78740157499999996" bottom="0.78740157499999996" header="0.3" footer="0.3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theme="2" tint="-0.499984740745262"/>
  </sheetPr>
  <dimension ref="B1:AT1707"/>
  <sheetViews>
    <sheetView showGridLines="0" showRowColHeaders="0" topLeftCell="A2" zoomScaleNormal="100" workbookViewId="0">
      <selection activeCell="E6" sqref="E6"/>
    </sheetView>
  </sheetViews>
  <sheetFormatPr defaultColWidth="12" defaultRowHeight="14.25"/>
  <cols>
    <col min="1" max="1" width="5.1640625" customWidth="1"/>
    <col min="2" max="2" width="6.1640625" customWidth="1"/>
    <col min="3" max="3" width="5.5" customWidth="1"/>
    <col min="4" max="4" width="4.5" style="149" customWidth="1"/>
    <col min="5" max="5" width="6.83203125" style="246" customWidth="1"/>
    <col min="6" max="6" width="6.83203125" style="276" customWidth="1"/>
    <col min="7" max="7" width="6.83203125" style="149" customWidth="1"/>
    <col min="8" max="8" width="6.83203125" style="259" customWidth="1"/>
    <col min="9" max="9" width="6.83203125" style="276" customWidth="1"/>
    <col min="10" max="10" width="6.83203125" style="149" customWidth="1"/>
    <col min="11" max="11" width="28.83203125" style="149" customWidth="1"/>
    <col min="12" max="12" width="8.6640625" style="259" customWidth="1"/>
    <col min="13" max="15" width="10.83203125" style="149" customWidth="1"/>
    <col min="16" max="23" width="0" style="2" hidden="1" customWidth="1"/>
    <col min="24" max="24" width="9.6640625" style="2" hidden="1" customWidth="1"/>
    <col min="25" max="30" width="0" style="2" hidden="1" customWidth="1"/>
    <col min="31" max="256" width="9.33203125" customWidth="1"/>
  </cols>
  <sheetData>
    <row r="1" spans="2:46" hidden="1"/>
    <row r="2" spans="2:46" ht="25.5" customHeight="1">
      <c r="B2" s="11"/>
      <c r="C2" s="29"/>
      <c r="D2" s="592" t="s">
        <v>65</v>
      </c>
      <c r="E2" s="592"/>
      <c r="F2" s="592"/>
      <c r="G2" s="592"/>
      <c r="H2" s="592"/>
      <c r="I2" s="592"/>
      <c r="J2" s="592"/>
      <c r="K2" s="592"/>
      <c r="L2" s="592"/>
      <c r="M2" s="592"/>
      <c r="N2" s="592"/>
      <c r="O2" s="59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29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</row>
    <row r="3" spans="2:46" ht="15.75" thickBot="1">
      <c r="B3" s="11"/>
      <c r="C3" s="29"/>
      <c r="D3" s="219"/>
      <c r="E3" s="247"/>
      <c r="F3" s="277"/>
      <c r="G3" s="219"/>
      <c r="H3" s="260"/>
      <c r="I3" s="277"/>
      <c r="J3" s="219"/>
      <c r="K3" s="219"/>
      <c r="L3" s="260"/>
      <c r="M3" s="220"/>
      <c r="N3" s="219"/>
      <c r="O3" s="148" t="s">
        <v>384</v>
      </c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29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</row>
    <row r="4" spans="2:46" ht="23.25" customHeight="1" thickBot="1">
      <c r="B4" s="11"/>
      <c r="C4" s="29"/>
      <c r="D4" s="306" t="s">
        <v>390</v>
      </c>
      <c r="E4" s="589" t="s">
        <v>48</v>
      </c>
      <c r="F4" s="589"/>
      <c r="G4" s="590"/>
      <c r="H4" s="591" t="s">
        <v>49</v>
      </c>
      <c r="I4" s="589"/>
      <c r="J4" s="590"/>
      <c r="K4" s="301" t="s">
        <v>50</v>
      </c>
      <c r="L4" s="302" t="s">
        <v>42</v>
      </c>
      <c r="M4" s="303" t="s">
        <v>46</v>
      </c>
      <c r="N4" s="301" t="s">
        <v>51</v>
      </c>
      <c r="O4" s="304" t="s">
        <v>52</v>
      </c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1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</row>
    <row r="5" spans="2:46" ht="15">
      <c r="B5" s="11"/>
      <c r="C5" s="29"/>
      <c r="D5" s="240"/>
      <c r="E5" s="248"/>
      <c r="F5" s="278"/>
      <c r="G5" s="221"/>
      <c r="H5" s="261"/>
      <c r="I5" s="278"/>
      <c r="J5" s="221"/>
      <c r="K5" s="221"/>
      <c r="L5" s="273"/>
      <c r="M5" s="222"/>
      <c r="N5" s="106"/>
      <c r="O5" s="223"/>
      <c r="P5" s="32"/>
      <c r="Q5" s="32" t="s">
        <v>34</v>
      </c>
      <c r="R5" s="32" t="s">
        <v>35</v>
      </c>
      <c r="S5" s="32" t="s">
        <v>36</v>
      </c>
      <c r="T5" s="32" t="s">
        <v>37</v>
      </c>
      <c r="U5" s="32" t="s">
        <v>6</v>
      </c>
      <c r="V5" s="32" t="s">
        <v>7</v>
      </c>
      <c r="W5" s="32" t="s">
        <v>8</v>
      </c>
      <c r="X5" s="32" t="s">
        <v>38</v>
      </c>
      <c r="Y5" s="32" t="s">
        <v>3</v>
      </c>
      <c r="Z5" s="32" t="s">
        <v>4</v>
      </c>
      <c r="AA5" s="32" t="s">
        <v>5</v>
      </c>
      <c r="AB5" s="32" t="s">
        <v>39</v>
      </c>
      <c r="AC5" s="32" t="s">
        <v>1</v>
      </c>
      <c r="AD5" s="32" t="s">
        <v>2</v>
      </c>
      <c r="AE5" s="33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</row>
    <row r="6" spans="2:46" ht="15">
      <c r="B6" s="11"/>
      <c r="C6" s="29"/>
      <c r="D6" s="224">
        <f>IF(E6="","",D5+1)</f>
        <v>1</v>
      </c>
      <c r="E6" s="250">
        <v>10</v>
      </c>
      <c r="F6" s="279">
        <v>22.6</v>
      </c>
      <c r="G6" s="225" t="s">
        <v>9</v>
      </c>
      <c r="H6" s="262">
        <v>61</v>
      </c>
      <c r="I6" s="291">
        <v>32</v>
      </c>
      <c r="J6" s="225" t="s">
        <v>11</v>
      </c>
      <c r="K6" s="226" t="s">
        <v>327</v>
      </c>
      <c r="L6" s="274"/>
      <c r="M6" s="227"/>
      <c r="N6" s="227">
        <f>IF(D6="","",N2+M6)</f>
        <v>0</v>
      </c>
      <c r="O6" s="228">
        <f>IF(D6="","",SUM(M7:M82))</f>
        <v>8045.9224144245163</v>
      </c>
      <c r="P6" s="32"/>
      <c r="Q6" s="32">
        <f>IF(G6="N",E6+F6/60,-E6-F6/60)</f>
        <v>10.376666666666667</v>
      </c>
      <c r="R6" s="32">
        <f>IF(IF(G8="N",E8+F8/60,-E8-F8/60)=Q6,IF(G8="N",E8+F8/60,-E8-F8/60)+0.000000001,IF(G8="N",E8+F8/60,-E8-F8/60))</f>
        <v>10.375</v>
      </c>
      <c r="S6" s="32">
        <f>R6-Q6</f>
        <v>-1.6666666666669272E-3</v>
      </c>
      <c r="T6" s="32">
        <f>S6*60</f>
        <v>-0.10000000000001563</v>
      </c>
      <c r="U6" s="32">
        <f>IF(J6="E",H6+I6/60,-H6-I6/60)</f>
        <v>-61.533333333333331</v>
      </c>
      <c r="V6" s="32">
        <f>IF(J8="E",H8+I8/60,-H8-I8/60)</f>
        <v>-61.57</v>
      </c>
      <c r="W6" s="32">
        <f>V6-U6</f>
        <v>-3.6666666666668846E-2</v>
      </c>
      <c r="X6" s="32">
        <f>IF((W6*60)&gt;10800,-21600+W6*60,IF((W6*60)&lt;-10800,21600+W6*60,W6*60))</f>
        <v>-2.2000000000001307</v>
      </c>
      <c r="Y6" s="32">
        <f>LOG(POWER((1-0.082490633*SIN(RADIANS(R6)))/(1+0.082490633*SIN(RADIANS(R6))),(0.082490633/2))*TAN(RADIANS((45+R6/2))))*7915.70447</f>
        <v>621.71690761123386</v>
      </c>
      <c r="Z6" s="32">
        <f>LOG(POWER((1-0.082490633*SIN(RADIANS(Q6)))/(1+0.082490633*SIN(RADIANS(Q6))),(0.082490633/2))*TAN(RADIANS((45+Q6/2))))*7915.70447</f>
        <v>621.817900552889</v>
      </c>
      <c r="AA6" s="32">
        <f>Y6-Z6</f>
        <v>-0.10099294165513584</v>
      </c>
      <c r="AB6" s="32">
        <f>ABS(DEGREES(ATAN(X6/AA6)))</f>
        <v>87.371631934680238</v>
      </c>
      <c r="AC6" s="32">
        <f>IF(S6&gt;0,IF(X6&gt;0,AB6,360-AB6),IF(X6&gt;0,180-AB6,180+AB6))</f>
        <v>267.37163193468024</v>
      </c>
      <c r="AD6" s="32">
        <f>ABS(T6/COS(RADIANS(AC6)))</f>
        <v>2.1806641424623452</v>
      </c>
      <c r="AE6" s="33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</row>
    <row r="7" spans="2:46" ht="15">
      <c r="B7" s="11"/>
      <c r="C7" s="29"/>
      <c r="D7" s="224"/>
      <c r="E7" s="249"/>
      <c r="F7" s="280"/>
      <c r="G7" s="229"/>
      <c r="H7" s="263"/>
      <c r="I7" s="292"/>
      <c r="J7" s="230"/>
      <c r="K7" s="231"/>
      <c r="L7" s="274">
        <f>IF(D8="","",AC6)</f>
        <v>267.37163193468024</v>
      </c>
      <c r="M7" s="227">
        <f>IF(D8="","",AD6)</f>
        <v>2.1806641424623452</v>
      </c>
      <c r="N7" s="227"/>
      <c r="O7" s="228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3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</row>
    <row r="8" spans="2:46" ht="15">
      <c r="B8" s="11"/>
      <c r="C8" s="29"/>
      <c r="D8" s="224">
        <f>IF(E8="","",D6+1)</f>
        <v>2</v>
      </c>
      <c r="E8" s="250">
        <v>10</v>
      </c>
      <c r="F8" s="279">
        <v>22.5</v>
      </c>
      <c r="G8" s="225" t="s">
        <v>9</v>
      </c>
      <c r="H8" s="262">
        <v>61</v>
      </c>
      <c r="I8" s="291">
        <v>34.200000000000003</v>
      </c>
      <c r="J8" s="225" t="s">
        <v>11</v>
      </c>
      <c r="K8" s="226" t="s">
        <v>326</v>
      </c>
      <c r="L8" s="274"/>
      <c r="M8" s="227"/>
      <c r="N8" s="227">
        <f>IF(D8="","",N5+M7)</f>
        <v>2.1806641424623452</v>
      </c>
      <c r="O8" s="228">
        <f>IF(D8="","",SUM(M9:M83))</f>
        <v>8043.7417502820535</v>
      </c>
      <c r="P8" s="32"/>
      <c r="Q8" s="32">
        <f>IF(G8="N",E8+F8/60,-E8-F8/60)</f>
        <v>10.375</v>
      </c>
      <c r="R8" s="32">
        <f>IF(IF(G10="N",E10+F10/60,-E10-F10/60)=Q8,IF(G10="N",E10+F10/60,-E10-F10/60)+0.000000001,IF(G10="N",E10+F10/60,-E10-F10/60))</f>
        <v>10.46</v>
      </c>
      <c r="S8" s="32">
        <f>R8-Q8</f>
        <v>8.5000000000000853E-2</v>
      </c>
      <c r="T8" s="32">
        <f>S8*60</f>
        <v>5.1000000000000512</v>
      </c>
      <c r="U8" s="32">
        <f>IF(J8="E",H8+I8/60,-H8-I8/60)</f>
        <v>-61.57</v>
      </c>
      <c r="V8" s="32">
        <f>IF(J10="E",H10+I10/60,-H10-I10/60)</f>
        <v>-61.833333333333336</v>
      </c>
      <c r="W8" s="32">
        <f>V8-U8</f>
        <v>-0.26333333333333542</v>
      </c>
      <c r="X8" s="32">
        <f>IF((W8*60)&gt;10800,-21600+W8*60,IF((W8*60)&lt;-10800,21600+W8*60,W8*60))</f>
        <v>-15.800000000000125</v>
      </c>
      <c r="Y8" s="32">
        <f>LOG(POWER((1-0.082490633*SIN(RADIANS(R8)))/(1+0.082490633*SIN(RADIANS(R8))),(0.082490633/2))*TAN(RADIANS((45+R8/2))))*7915.70447</f>
        <v>626.86824447386709</v>
      </c>
      <c r="Z8" s="32">
        <f>LOG(POWER((1-0.082490633*SIN(RADIANS(Q8)))/(1+0.082490633*SIN(RADIANS(Q8))),(0.082490633/2))*TAN(RADIANS((45+Q8/2))))*7915.70447</f>
        <v>621.71690761123386</v>
      </c>
      <c r="AA8" s="32">
        <f>Y8-Z8</f>
        <v>5.1513368626332294</v>
      </c>
      <c r="AB8" s="32">
        <f>ABS(DEGREES(ATAN(X8/AA8)))</f>
        <v>71.942271773698636</v>
      </c>
      <c r="AC8" s="32">
        <f>IF(S8&gt;0,IF(X8&gt;0,AB8,360-AB8),IF(X8&gt;0,180-AB8,180+AB8))</f>
        <v>288.05772822630138</v>
      </c>
      <c r="AD8" s="32">
        <f>ABS(T8/COS(RADIANS(AC8)))</f>
        <v>16.452935926637064</v>
      </c>
      <c r="AE8" s="33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2:46" ht="15">
      <c r="B9" s="11"/>
      <c r="C9" s="29"/>
      <c r="D9" s="224"/>
      <c r="E9" s="249"/>
      <c r="F9" s="281"/>
      <c r="G9" s="229"/>
      <c r="H9" s="263"/>
      <c r="I9" s="293"/>
      <c r="J9" s="230"/>
      <c r="K9" s="231"/>
      <c r="L9" s="274">
        <f>IF(D10="","",AC8)</f>
        <v>288.05772822630138</v>
      </c>
      <c r="M9" s="227">
        <f>IF(D10="","",AD8)</f>
        <v>16.452935926637064</v>
      </c>
      <c r="N9" s="227"/>
      <c r="O9" s="228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3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</row>
    <row r="10" spans="2:46" ht="15">
      <c r="B10" s="11"/>
      <c r="C10" s="29"/>
      <c r="D10" s="224">
        <f>IF(E10="","",D8+1)</f>
        <v>3</v>
      </c>
      <c r="E10" s="250">
        <v>10</v>
      </c>
      <c r="F10" s="279">
        <v>27.6</v>
      </c>
      <c r="G10" s="225" t="s">
        <v>9</v>
      </c>
      <c r="H10" s="262">
        <v>61</v>
      </c>
      <c r="I10" s="291">
        <v>50</v>
      </c>
      <c r="J10" s="225" t="s">
        <v>11</v>
      </c>
      <c r="K10" s="226" t="s">
        <v>325</v>
      </c>
      <c r="L10" s="274"/>
      <c r="M10" s="227"/>
      <c r="N10" s="227">
        <f>IF(D10="","",N8+M9)</f>
        <v>18.633600069099408</v>
      </c>
      <c r="O10" s="228">
        <f>IF(D10="","",SUM(M11:M84))</f>
        <v>8027.2888143554173</v>
      </c>
      <c r="P10" s="32"/>
      <c r="Q10" s="32">
        <f>IF(G10="N",E10+F10/60,-E10-F10/60)</f>
        <v>10.46</v>
      </c>
      <c r="R10" s="32">
        <f>IF(IF(G12="N",E12+F12/60,-E12-F12/60)=Q10,IF(G12="N",E12+F12/60,-E12-F12/60)+0.000000001,IF(G12="N",E12+F12/60,-E12-F12/60))</f>
        <v>10.666666666666666</v>
      </c>
      <c r="S10" s="32">
        <f>R10-Q10</f>
        <v>0.20666666666666522</v>
      </c>
      <c r="T10" s="32">
        <f>S10*60</f>
        <v>12.399999999999913</v>
      </c>
      <c r="U10" s="32">
        <f>IF(J10="E",H10+I10/60,-H10-I10/60)</f>
        <v>-61.833333333333336</v>
      </c>
      <c r="V10" s="32">
        <f>IF(J12="E",H12+I12/60,-H12-I12/60)</f>
        <v>-61.8</v>
      </c>
      <c r="W10" s="32">
        <f>V10-U10</f>
        <v>3.3333333333338544E-2</v>
      </c>
      <c r="X10" s="32">
        <f>IF((W10*60)&gt;10800,-21600+W10*60,IF((W10*60)&lt;-10800,21600+W10*60,W10*60))</f>
        <v>2.0000000000003126</v>
      </c>
      <c r="Y10" s="32">
        <f>LOG(POWER((1-0.082490633*SIN(RADIANS(R10)))/(1+0.082490633*SIN(RADIANS(R10))),(0.082490633/2))*TAN(RADIANS((45+R10/2))))*7915.70447</f>
        <v>639.39905167013319</v>
      </c>
      <c r="Z10" s="32">
        <f>LOG(POWER((1-0.082490633*SIN(RADIANS(Q10)))/(1+0.082490633*SIN(RADIANS(Q10))),(0.082490633/2))*TAN(RADIANS((45+Q10/2))))*7915.70447</f>
        <v>626.86824447386709</v>
      </c>
      <c r="AA10" s="32">
        <f>Y10-Z10</f>
        <v>12.530807196266096</v>
      </c>
      <c r="AB10" s="32">
        <f>ABS(DEGREES(ATAN(X10/AA10)))</f>
        <v>9.0683001256088289</v>
      </c>
      <c r="AC10" s="32">
        <f>IF(S10&gt;0,IF(X10&gt;0,AB10,360-AB10),IF(X10&gt;0,180-AB10,180+AB10))</f>
        <v>9.0683001256088289</v>
      </c>
      <c r="AD10" s="32">
        <f>ABS(T10/COS(RADIANS(AC10)))</f>
        <v>12.556947283924789</v>
      </c>
      <c r="AE10" s="33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</row>
    <row r="11" spans="2:46" ht="15">
      <c r="B11" s="11"/>
      <c r="C11" s="29"/>
      <c r="D11" s="224"/>
      <c r="E11" s="251"/>
      <c r="F11" s="282"/>
      <c r="G11" s="232"/>
      <c r="H11" s="264"/>
      <c r="I11" s="294"/>
      <c r="J11" s="232"/>
      <c r="K11" s="231"/>
      <c r="L11" s="274">
        <f>IF(D12="","",AC10)</f>
        <v>9.0683001256088289</v>
      </c>
      <c r="M11" s="227">
        <f>IF(D12="","",AD10)</f>
        <v>12.556947283924789</v>
      </c>
      <c r="N11" s="227"/>
      <c r="O11" s="228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3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</row>
    <row r="12" spans="2:46" ht="15">
      <c r="B12" s="11"/>
      <c r="C12" s="29"/>
      <c r="D12" s="224">
        <f>IF(E12="","",D10+1)</f>
        <v>4</v>
      </c>
      <c r="E12" s="250">
        <v>10</v>
      </c>
      <c r="F12" s="279">
        <v>40</v>
      </c>
      <c r="G12" s="225" t="s">
        <v>9</v>
      </c>
      <c r="H12" s="262">
        <v>61</v>
      </c>
      <c r="I12" s="291">
        <v>48</v>
      </c>
      <c r="J12" s="225" t="s">
        <v>11</v>
      </c>
      <c r="K12" s="226" t="s">
        <v>324</v>
      </c>
      <c r="L12" s="274"/>
      <c r="M12" s="227"/>
      <c r="N12" s="227">
        <f>IF(D12="","",N10+M11)</f>
        <v>31.190547353024197</v>
      </c>
      <c r="O12" s="228">
        <f>IF(D12="","",SUM(M13:M85))</f>
        <v>8014.7318670714922</v>
      </c>
      <c r="P12" s="32"/>
      <c r="Q12" s="32">
        <f>IF(G12="N",E12+F12/60,-E12-F12/60)</f>
        <v>10.666666666666666</v>
      </c>
      <c r="R12" s="32">
        <f>IF(IF(G14="N",E14+F14/60,-E14-F14/60)=Q12,IF(G14="N",E14+F14/60,-E14-F14/60)+0.000000001,IF(G14="N",E14+F14/60,-E14-F14/60))</f>
        <v>10.833333333333334</v>
      </c>
      <c r="S12" s="32">
        <f>R12-Q12</f>
        <v>0.16666666666666785</v>
      </c>
      <c r="T12" s="32">
        <f>S12*60</f>
        <v>10.000000000000071</v>
      </c>
      <c r="U12" s="32">
        <f>IF(J12="E",H12+I12/60,-H12-I12/60)</f>
        <v>-61.8</v>
      </c>
      <c r="V12" s="32">
        <f>IF(J14="E",H14+I14/60,-H14-I14/60)</f>
        <v>-61.666666666666664</v>
      </c>
      <c r="W12" s="32">
        <f>V12-U12</f>
        <v>0.13333333333333286</v>
      </c>
      <c r="X12" s="32">
        <f>IF((W12*60)&gt;10800,-21600+W12*60,IF((W12*60)&lt;-10800,21600+W12*60,W12*60))</f>
        <v>7.9999999999999716</v>
      </c>
      <c r="Y12" s="32">
        <f>LOG(POWER((1-0.082490633*SIN(RADIANS(R12)))/(1+0.082490633*SIN(RADIANS(R12))),(0.082490633/2))*TAN(RADIANS((45+R12/2))))*7915.70447</f>
        <v>649.51081779039214</v>
      </c>
      <c r="Z12" s="32">
        <f>LOG(POWER((1-0.082490633*SIN(RADIANS(Q12)))/(1+0.082490633*SIN(RADIANS(Q12))),(0.082490633/2))*TAN(RADIANS((45+Q12/2))))*7915.70447</f>
        <v>639.39905167013319</v>
      </c>
      <c r="AA12" s="32">
        <f>Y12-Z12</f>
        <v>10.111766120258949</v>
      </c>
      <c r="AB12" s="32">
        <f>ABS(DEGREES(ATAN(X12/AA12)))</f>
        <v>38.349548801770347</v>
      </c>
      <c r="AC12" s="32">
        <f>IF(S12&gt;0,IF(X12&gt;0,AB12,360-AB12),IF(X12&gt;0,180-AB12,180+AB12))</f>
        <v>38.349548801770347</v>
      </c>
      <c r="AD12" s="32">
        <f>ABS(T12/COS(RADIANS(AC12)))</f>
        <v>12.751197009411213</v>
      </c>
      <c r="AE12" s="33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</row>
    <row r="13" spans="2:46" ht="15">
      <c r="B13" s="11"/>
      <c r="C13" s="29"/>
      <c r="D13" s="224"/>
      <c r="E13" s="249"/>
      <c r="F13" s="280"/>
      <c r="G13" s="230"/>
      <c r="H13" s="265"/>
      <c r="I13" s="292"/>
      <c r="J13" s="230"/>
      <c r="K13" s="231"/>
      <c r="L13" s="274">
        <f>IF(D14="","",AC12)</f>
        <v>38.349548801770347</v>
      </c>
      <c r="M13" s="227">
        <f>IF(D14="","",AD12)</f>
        <v>12.751197009411213</v>
      </c>
      <c r="N13" s="227"/>
      <c r="O13" s="228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3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</row>
    <row r="14" spans="2:46" ht="15">
      <c r="B14" s="11"/>
      <c r="C14" s="29"/>
      <c r="D14" s="224">
        <f>IF(E14="","",D12+1)</f>
        <v>5</v>
      </c>
      <c r="E14" s="250">
        <v>10</v>
      </c>
      <c r="F14" s="279">
        <v>50</v>
      </c>
      <c r="G14" s="225" t="s">
        <v>9</v>
      </c>
      <c r="H14" s="262">
        <v>61</v>
      </c>
      <c r="I14" s="291">
        <v>40</v>
      </c>
      <c r="J14" s="225" t="s">
        <v>11</v>
      </c>
      <c r="K14" s="226" t="s">
        <v>304</v>
      </c>
      <c r="L14" s="274"/>
      <c r="M14" s="227"/>
      <c r="N14" s="227">
        <f>IF(D14="","",N12+M13)</f>
        <v>43.941744362435408</v>
      </c>
      <c r="O14" s="228">
        <f>IF(D14="","",SUM(M15:M86))</f>
        <v>8001.9806700620811</v>
      </c>
      <c r="P14" s="32"/>
      <c r="Q14" s="32">
        <f>IF(G14="N",E14+F14/60,-E14-F14/60)</f>
        <v>10.833333333333334</v>
      </c>
      <c r="R14" s="32">
        <f>IF(IF(G16="N",E16+F16/60,-E16-F16/60)=Q14,IF(G16="N",E16+F16/60,-E16-F16/60)+0.000000001,IF(G16="N",E16+F16/60,-E16-F16/60))</f>
        <v>13.166666666666666</v>
      </c>
      <c r="S14" s="32">
        <f>R14-Q14</f>
        <v>2.3333333333333321</v>
      </c>
      <c r="T14" s="32">
        <f>S14*60</f>
        <v>139.99999999999994</v>
      </c>
      <c r="U14" s="32">
        <f>IF(J14="E",H14+I14/60,-H14-I14/60)</f>
        <v>-61.666666666666664</v>
      </c>
      <c r="V14" s="32">
        <f>IF(J16="E",H16+I16/60,-H16-I16/60)</f>
        <v>-60</v>
      </c>
      <c r="W14" s="32">
        <f>V14-U14</f>
        <v>1.6666666666666643</v>
      </c>
      <c r="X14" s="32">
        <f>IF((W14*60)&gt;10800,-21600+W14*60,IF((W14*60)&lt;-10800,21600+W14*60,W14*60))</f>
        <v>99.999999999999858</v>
      </c>
      <c r="Y14" s="32">
        <f>LOG(POWER((1-0.082490633*SIN(RADIANS(R14)))/(1+0.082490633*SIN(RADIANS(R14))),(0.082490633/2))*TAN(RADIANS((45+R14/2))))*7915.70447</f>
        <v>791.7172354227929</v>
      </c>
      <c r="Z14" s="32">
        <f>LOG(POWER((1-0.082490633*SIN(RADIANS(Q14)))/(1+0.082490633*SIN(RADIANS(Q14))),(0.082490633/2))*TAN(RADIANS((45+Q14/2))))*7915.70447</f>
        <v>649.51081779039214</v>
      </c>
      <c r="AA14" s="32">
        <f>Y14-Z14</f>
        <v>142.20641763240076</v>
      </c>
      <c r="AB14" s="32">
        <f>ABS(DEGREES(ATAN(X14/AA14)))</f>
        <v>35.115007177499031</v>
      </c>
      <c r="AC14" s="32">
        <f>IF(S14&gt;0,IF(X14&gt;0,AB14,360-AB14),IF(X14&gt;0,180-AB14,180+AB14))</f>
        <v>35.115007177499031</v>
      </c>
      <c r="AD14" s="32">
        <f>ABS(T14/COS(RADIANS(AC14)))</f>
        <v>171.14933647132116</v>
      </c>
      <c r="AE14" s="33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</row>
    <row r="15" spans="2:46" ht="15">
      <c r="B15" s="11"/>
      <c r="C15" s="29"/>
      <c r="D15" s="224"/>
      <c r="E15" s="249"/>
      <c r="F15" s="280"/>
      <c r="G15" s="230"/>
      <c r="H15" s="265"/>
      <c r="I15" s="292"/>
      <c r="J15" s="230"/>
      <c r="K15" s="231"/>
      <c r="L15" s="274">
        <f>IF(D16="","",AC14)</f>
        <v>35.115007177499031</v>
      </c>
      <c r="M15" s="227">
        <f>IF(D16="","",AD14)</f>
        <v>171.14933647132116</v>
      </c>
      <c r="N15" s="227"/>
      <c r="O15" s="228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3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</row>
    <row r="16" spans="2:46" ht="15">
      <c r="B16" s="11"/>
      <c r="C16" s="29"/>
      <c r="D16" s="224">
        <f>IF(E16="","",D14+1)</f>
        <v>6</v>
      </c>
      <c r="E16" s="250">
        <v>13</v>
      </c>
      <c r="F16" s="279">
        <v>10</v>
      </c>
      <c r="G16" s="225" t="s">
        <v>9</v>
      </c>
      <c r="H16" s="262">
        <v>60</v>
      </c>
      <c r="I16" s="291">
        <v>0</v>
      </c>
      <c r="J16" s="225" t="s">
        <v>11</v>
      </c>
      <c r="K16" s="226" t="s">
        <v>305</v>
      </c>
      <c r="L16" s="274"/>
      <c r="M16" s="227"/>
      <c r="N16" s="227">
        <f>IF(D16="","",N14+M15)</f>
        <v>215.09108083375656</v>
      </c>
      <c r="O16" s="228">
        <f>IF(D16="","",SUM(M17:M87))</f>
        <v>7830.8313335907596</v>
      </c>
      <c r="P16" s="32"/>
      <c r="Q16" s="32">
        <f>IF(G16="N",E16+F16/60,-E16-F16/60)</f>
        <v>13.166666666666666</v>
      </c>
      <c r="R16" s="32">
        <f>IF(IF(G18="N",E18+F18/60,-E18-F18/60)=Q16,IF(G18="N",E18+F18/60,-E18-F18/60)+0.000000001,IF(G18="N",E18+F18/60,-E18-F18/60))</f>
        <v>18.921632089559221</v>
      </c>
      <c r="S16" s="32">
        <f>R16-Q16</f>
        <v>5.7549654228925551</v>
      </c>
      <c r="T16" s="32">
        <f>S16*60</f>
        <v>345.29792537355331</v>
      </c>
      <c r="U16" s="32">
        <f>IF(J16="E",H16+I16/60,-H16-I16/60)</f>
        <v>-60</v>
      </c>
      <c r="V16" s="32">
        <f>IF(J18="E",H18+I18/60,-H18-I18/60)</f>
        <v>-55</v>
      </c>
      <c r="W16" s="32">
        <f>V16-U16</f>
        <v>5</v>
      </c>
      <c r="X16" s="32">
        <f>IF((W16*60)&gt;10800,-21600+W16*60,IF((W16*60)&lt;-10800,21600+W16*60,W16*60))</f>
        <v>300</v>
      </c>
      <c r="Y16" s="32">
        <f>LOG(POWER((1-0.082490633*SIN(RADIANS(R16)))/(1+0.082490633*SIN(RADIANS(R16))),(0.082490633/2))*TAN(RADIANS((45+R16/2))))*7915.70447</f>
        <v>1148.9277620944424</v>
      </c>
      <c r="Z16" s="32">
        <f>LOG(POWER((1-0.082490633*SIN(RADIANS(Q16)))/(1+0.082490633*SIN(RADIANS(Q16))),(0.082490633/2))*TAN(RADIANS((45+Q16/2))))*7915.70447</f>
        <v>791.7172354227929</v>
      </c>
      <c r="AA16" s="32">
        <f>Y16-Z16</f>
        <v>357.21052667164952</v>
      </c>
      <c r="AB16" s="32">
        <f>ABS(DEGREES(ATAN(X16/AA16)))</f>
        <v>40.024913287693472</v>
      </c>
      <c r="AC16" s="32">
        <f>IF(S16&gt;0,IF(X16&gt;0,AB16,360-AB16),IF(X16&gt;0,180-AB16,180+AB16))</f>
        <v>40.024913287693472</v>
      </c>
      <c r="AD16" s="32">
        <f>ABS(T16/COS(RADIANS(AC16)))</f>
        <v>450.91899206546537</v>
      </c>
      <c r="AE16" s="33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</row>
    <row r="17" spans="2:46" ht="15.75">
      <c r="B17" s="11"/>
      <c r="C17" s="29"/>
      <c r="D17" s="224"/>
      <c r="E17" s="249"/>
      <c r="F17" s="280"/>
      <c r="G17" s="230"/>
      <c r="H17" s="265"/>
      <c r="I17" s="292"/>
      <c r="J17" s="230"/>
      <c r="K17" s="231"/>
      <c r="L17" s="274">
        <f>IF(D18="","",AC16)</f>
        <v>40.024913287693472</v>
      </c>
      <c r="M17" s="227">
        <f>IF(D18="","",AD16)</f>
        <v>450.91899206546537</v>
      </c>
      <c r="N17" s="227"/>
      <c r="O17" s="228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3"/>
      <c r="AF17" s="6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</row>
    <row r="18" spans="2:46" ht="15">
      <c r="B18" s="11"/>
      <c r="C18" s="29"/>
      <c r="D18" s="224">
        <f>IF(E18="","",D16+1)</f>
        <v>7</v>
      </c>
      <c r="E18" s="250">
        <v>18</v>
      </c>
      <c r="F18" s="279">
        <v>55.297925373553269</v>
      </c>
      <c r="G18" s="225" t="s">
        <v>9</v>
      </c>
      <c r="H18" s="262">
        <v>55</v>
      </c>
      <c r="I18" s="291">
        <v>0</v>
      </c>
      <c r="J18" s="225" t="s">
        <v>11</v>
      </c>
      <c r="K18" s="226" t="s">
        <v>306</v>
      </c>
      <c r="L18" s="274"/>
      <c r="M18" s="227"/>
      <c r="N18" s="227">
        <f>IF(D18="","",N16+M17)</f>
        <v>666.010072899222</v>
      </c>
      <c r="O18" s="228">
        <f>IF(D18="","",SUM(M19:M88))</f>
        <v>7379.9123415252943</v>
      </c>
      <c r="P18" s="32"/>
      <c r="Q18" s="32">
        <f>IF(G18="N",E18+F18/60,-E18-F18/60)</f>
        <v>18.921632089559221</v>
      </c>
      <c r="R18" s="32">
        <f>IF(IF(G20="N",E20+F20/60,-E20-F20/60)=Q18,IF(G20="N",E20+F20/60,-E20-F20/60)+0.000000001,IF(G20="N",E20+F20/60,-E20-F20/60))</f>
        <v>24.182640312192156</v>
      </c>
      <c r="S18" s="32">
        <f>R18-Q18</f>
        <v>5.2610082226329347</v>
      </c>
      <c r="T18" s="32">
        <f>S18*60</f>
        <v>315.66049335797607</v>
      </c>
      <c r="U18" s="32">
        <f>IF(J18="E",H18+I18/60,-H18-I18/60)</f>
        <v>-55</v>
      </c>
      <c r="V18" s="32">
        <f>IF(J20="E",H20+I20/60,-H20-I20/60)</f>
        <v>-50</v>
      </c>
      <c r="W18" s="32">
        <f>V18-U18</f>
        <v>5</v>
      </c>
      <c r="X18" s="32">
        <f>IF((W18*60)&gt;10800,-21600+W18*60,IF((W18*60)&lt;-10800,21600+W18*60,W18*60))</f>
        <v>300</v>
      </c>
      <c r="Y18" s="32">
        <f>LOG(POWER((1-0.082490633*SIN(RADIANS(R18)))/(1+0.082490633*SIN(RADIANS(R18))),(0.082490633/2))*TAN(RADIANS((45+R18/2))))*7915.70447</f>
        <v>1486.4747233327771</v>
      </c>
      <c r="Z18" s="32">
        <f>LOG(POWER((1-0.082490633*SIN(RADIANS(Q18)))/(1+0.082490633*SIN(RADIANS(Q18))),(0.082490633/2))*TAN(RADIANS((45+Q18/2))))*7915.70447</f>
        <v>1148.9277620944424</v>
      </c>
      <c r="AA18" s="32">
        <f>Y18-Z18</f>
        <v>337.54696123833469</v>
      </c>
      <c r="AB18" s="32">
        <f>ABS(DEGREES(ATAN(X18/AA18)))</f>
        <v>41.629580941535011</v>
      </c>
      <c r="AC18" s="32">
        <f>IF(S18&gt;0,IF(X18&gt;0,AB18,360-AB18),IF(X18&gt;0,180-AB18,180+AB18))</f>
        <v>41.629580941535011</v>
      </c>
      <c r="AD18" s="32">
        <f>ABS(T18/COS(RADIANS(AC18)))</f>
        <v>422.31358705660932</v>
      </c>
      <c r="AE18" s="33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</row>
    <row r="19" spans="2:46" ht="15">
      <c r="B19" s="11"/>
      <c r="C19" s="29"/>
      <c r="D19" s="224"/>
      <c r="E19" s="249"/>
      <c r="F19" s="280"/>
      <c r="G19" s="230"/>
      <c r="H19" s="265"/>
      <c r="I19" s="292"/>
      <c r="J19" s="230"/>
      <c r="K19" s="231"/>
      <c r="L19" s="274">
        <f>IF(D20="","",AC18)</f>
        <v>41.629580941535011</v>
      </c>
      <c r="M19" s="227">
        <f>IF(D20="","",AD18)</f>
        <v>422.31358705660932</v>
      </c>
      <c r="N19" s="227"/>
      <c r="O19" s="228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3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</row>
    <row r="20" spans="2:46" ht="15">
      <c r="B20" s="11"/>
      <c r="C20" s="29"/>
      <c r="D20" s="224">
        <f>IF(E20="","",D18+1)</f>
        <v>8</v>
      </c>
      <c r="E20" s="250">
        <v>24</v>
      </c>
      <c r="F20" s="279">
        <v>10.958418731529349</v>
      </c>
      <c r="G20" s="225" t="s">
        <v>9</v>
      </c>
      <c r="H20" s="262">
        <v>50</v>
      </c>
      <c r="I20" s="291">
        <v>0</v>
      </c>
      <c r="J20" s="225" t="s">
        <v>11</v>
      </c>
      <c r="K20" s="226" t="s">
        <v>307</v>
      </c>
      <c r="L20" s="274"/>
      <c r="M20" s="227"/>
      <c r="N20" s="227">
        <f>IF(D20="","",N18+M19)</f>
        <v>1088.3236599558313</v>
      </c>
      <c r="O20" s="228">
        <f>IF(D20="","",SUM(M21:M89))</f>
        <v>6957.598754468685</v>
      </c>
      <c r="P20" s="32"/>
      <c r="Q20" s="32">
        <f>IF(G20="N",E20+F20/60,-E20-F20/60)</f>
        <v>24.182640312192156</v>
      </c>
      <c r="R20" s="32">
        <f>IF(IF(G22="N",E22+F22/60,-E22-F22/60)=Q20,IF(G22="N",E22+F22/60,-E22-F22/60)+0.000000001,IF(G22="N",E22+F22/60,-E22-F22/60))</f>
        <v>28.893929180743879</v>
      </c>
      <c r="S20" s="32">
        <f>R20-Q20</f>
        <v>4.7112888685517227</v>
      </c>
      <c r="T20" s="32">
        <f>S20*60</f>
        <v>282.67733211310338</v>
      </c>
      <c r="U20" s="32">
        <f>IF(J20="E",H20+I20/60,-H20-I20/60)</f>
        <v>-50</v>
      </c>
      <c r="V20" s="32">
        <f>IF(J22="E",H22+I22/60,-H22-I22/60)</f>
        <v>-45</v>
      </c>
      <c r="W20" s="32">
        <f>V20-U20</f>
        <v>5</v>
      </c>
      <c r="X20" s="32">
        <f>IF((W20*60)&gt;10800,-21600+W20*60,IF((W20*60)&lt;-10800,21600+W20*60,W20*60))</f>
        <v>300</v>
      </c>
      <c r="Y20" s="32">
        <f>LOG(POWER((1-0.082490633*SIN(RADIANS(R20)))/(1+0.082490633*SIN(RADIANS(R20))),(0.082490633/2))*TAN(RADIANS((45+R20/2))))*7915.70447</f>
        <v>1800.8546190033189</v>
      </c>
      <c r="Z20" s="32">
        <f>LOG(POWER((1-0.082490633*SIN(RADIANS(Q20)))/(1+0.082490633*SIN(RADIANS(Q20))),(0.082490633/2))*TAN(RADIANS((45+Q20/2))))*7915.70447</f>
        <v>1486.4747233327771</v>
      </c>
      <c r="AA20" s="32">
        <f>Y20-Z20</f>
        <v>314.37989567054183</v>
      </c>
      <c r="AB20" s="32">
        <f>ABS(DEGREES(ATAN(X20/AA20)))</f>
        <v>43.659205914505335</v>
      </c>
      <c r="AC20" s="32">
        <f>IF(S20&gt;0,IF(X20&gt;0,AB20,360-AB20),IF(X20&gt;0,180-AB20,180+AB20))</f>
        <v>43.659205914505335</v>
      </c>
      <c r="AD20" s="32">
        <f>ABS(T20/COS(RADIANS(AC20)))</f>
        <v>390.73034540729998</v>
      </c>
      <c r="AE20" s="33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</row>
    <row r="21" spans="2:46" ht="15">
      <c r="B21" s="11"/>
      <c r="C21" s="29"/>
      <c r="D21" s="224"/>
      <c r="E21" s="249"/>
      <c r="F21" s="280"/>
      <c r="G21" s="230"/>
      <c r="H21" s="265"/>
      <c r="I21" s="292"/>
      <c r="J21" s="230"/>
      <c r="K21" s="231"/>
      <c r="L21" s="274">
        <f>IF(D22="","",AC20)</f>
        <v>43.659205914505335</v>
      </c>
      <c r="M21" s="227">
        <f>IF(D22="","",AD20)</f>
        <v>390.73034540729998</v>
      </c>
      <c r="N21" s="227"/>
      <c r="O21" s="228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3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</row>
    <row r="22" spans="2:46" ht="15">
      <c r="B22" s="11"/>
      <c r="C22" s="29"/>
      <c r="D22" s="224">
        <f>IF(E22="","",D20+1)</f>
        <v>9</v>
      </c>
      <c r="E22" s="250">
        <v>28</v>
      </c>
      <c r="F22" s="279">
        <v>53.63575084463271</v>
      </c>
      <c r="G22" s="225" t="s">
        <v>9</v>
      </c>
      <c r="H22" s="262">
        <v>45</v>
      </c>
      <c r="I22" s="291">
        <v>0</v>
      </c>
      <c r="J22" s="225" t="s">
        <v>11</v>
      </c>
      <c r="K22" s="226" t="s">
        <v>308</v>
      </c>
      <c r="L22" s="274"/>
      <c r="M22" s="227"/>
      <c r="N22" s="227">
        <f>IF(D22="","",N20+M21)</f>
        <v>1479.0540053631312</v>
      </c>
      <c r="O22" s="228">
        <f>IF(D22="","",SUM(M23:M90))</f>
        <v>6566.8684090613851</v>
      </c>
      <c r="P22" s="32"/>
      <c r="Q22" s="32">
        <f>IF(G22="N",E22+F22/60,-E22-F22/60)</f>
        <v>28.893929180743879</v>
      </c>
      <c r="R22" s="32">
        <f>IF(IF(G24="N",E24+F24/60,-E24-F24/60)=Q22,IF(G24="N",E24+F24/60,-E24-F24/60)+0.000000001,IF(G24="N",E24+F24/60,-E24-F24/60))</f>
        <v>33.045166611982054</v>
      </c>
      <c r="S22" s="32">
        <f>R22-Q22</f>
        <v>4.1512374312381759</v>
      </c>
      <c r="T22" s="32">
        <f>S22*60</f>
        <v>249.07424587429057</v>
      </c>
      <c r="U22" s="32">
        <f>IF(J22="E",H22+I22/60,-H22-I22/60)</f>
        <v>-45</v>
      </c>
      <c r="V22" s="32">
        <f>IF(J24="E",H24+I24/60,-H24-I24/60)</f>
        <v>-40</v>
      </c>
      <c r="W22" s="32">
        <f>V22-U22</f>
        <v>5</v>
      </c>
      <c r="X22" s="32">
        <f>IF((W22*60)&gt;10800,-21600+W22*60,IF((W22*60)&lt;-10800,21600+W22*60,W22*60))</f>
        <v>300</v>
      </c>
      <c r="Y22" s="32">
        <f>LOG(POWER((1-0.082490633*SIN(RADIANS(R22)))/(1+0.082490633*SIN(RADIANS(R22))),(0.082490633/2))*TAN(RADIANS((45+R22/2))))*7915.70447</f>
        <v>2089.9940452942328</v>
      </c>
      <c r="Z22" s="32">
        <f>LOG(POWER((1-0.082490633*SIN(RADIANS(Q22)))/(1+0.082490633*SIN(RADIANS(Q22))),(0.082490633/2))*TAN(RADIANS((45+Q22/2))))*7915.70447</f>
        <v>1800.8546190033189</v>
      </c>
      <c r="AA22" s="32">
        <f>Y22-Z22</f>
        <v>289.13942629091389</v>
      </c>
      <c r="AB22" s="32">
        <f>ABS(DEGREES(ATAN(X22/AA22)))</f>
        <v>46.056107491495027</v>
      </c>
      <c r="AC22" s="32">
        <f>IF(S22&gt;0,IF(X22&gt;0,AB22,360-AB22),IF(X22&gt;0,180-AB22,180+AB22))</f>
        <v>46.056107491495027</v>
      </c>
      <c r="AD22" s="32">
        <f>ABS(T22/COS(RADIANS(AC22)))</f>
        <v>358.92059636419765</v>
      </c>
      <c r="AE22" s="33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</row>
    <row r="23" spans="2:46" ht="15">
      <c r="B23" s="11"/>
      <c r="C23" s="29"/>
      <c r="D23" s="224"/>
      <c r="E23" s="249"/>
      <c r="F23" s="280"/>
      <c r="G23" s="230"/>
      <c r="H23" s="265"/>
      <c r="I23" s="292"/>
      <c r="J23" s="230"/>
      <c r="K23" s="231"/>
      <c r="L23" s="274">
        <f>IF(D24="","",AC22)</f>
        <v>46.056107491495027</v>
      </c>
      <c r="M23" s="227">
        <f>IF(D24="","",AD22)</f>
        <v>358.92059636419765</v>
      </c>
      <c r="N23" s="227"/>
      <c r="O23" s="228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3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</row>
    <row r="24" spans="2:46" ht="15">
      <c r="B24" s="11"/>
      <c r="C24" s="29"/>
      <c r="D24" s="224">
        <f>IF(E24="","",D22+1)</f>
        <v>10</v>
      </c>
      <c r="E24" s="250">
        <v>33</v>
      </c>
      <c r="F24" s="279">
        <v>2.7099967189232643</v>
      </c>
      <c r="G24" s="225" t="s">
        <v>9</v>
      </c>
      <c r="H24" s="262">
        <v>40</v>
      </c>
      <c r="I24" s="291">
        <v>0</v>
      </c>
      <c r="J24" s="225" t="s">
        <v>11</v>
      </c>
      <c r="K24" s="226" t="s">
        <v>309</v>
      </c>
      <c r="L24" s="274"/>
      <c r="M24" s="227"/>
      <c r="N24" s="227">
        <f>IF(D24="","",N22+M23)</f>
        <v>1837.9746017273287</v>
      </c>
      <c r="O24" s="228">
        <f>IF(D24="","",SUM(M25:M91))</f>
        <v>6207.9478126971881</v>
      </c>
      <c r="P24" s="32"/>
      <c r="Q24" s="32">
        <f>IF(G24="N",E24+F24/60,-E24-F24/60)</f>
        <v>33.045166611982054</v>
      </c>
      <c r="R24" s="32">
        <f>IF(IF(G26="N",E26+F26/60,-E26-F26/60)=Q24,IF(G26="N",E26+F26/60,-E26-F26/60)+0.000000001,IF(G26="N",E26+F26/60,-E26-F26/60))</f>
        <v>36.65719494725532</v>
      </c>
      <c r="S24" s="32">
        <f>R24-Q24</f>
        <v>3.6120283352732656</v>
      </c>
      <c r="T24" s="32">
        <f>S24*60</f>
        <v>216.72170011639594</v>
      </c>
      <c r="U24" s="32">
        <f>IF(J24="E",H24+I24/60,-H24-I24/60)</f>
        <v>-40</v>
      </c>
      <c r="V24" s="32">
        <f>IF(J26="E",H26+I26/60,-H26-I26/60)</f>
        <v>-35</v>
      </c>
      <c r="W24" s="32">
        <f>V24-U24</f>
        <v>5</v>
      </c>
      <c r="X24" s="32">
        <f>IF((W24*60)&gt;10800,-21600+W24*60,IF((W24*60)&lt;-10800,21600+W24*60,W24*60))</f>
        <v>300</v>
      </c>
      <c r="Y24" s="32">
        <f>LOG(POWER((1-0.082490633*SIN(RADIANS(R24)))/(1+0.082490633*SIN(RADIANS(R24))),(0.082490633/2))*TAN(RADIANS((45+R24/2))))*7915.70447</f>
        <v>2352.9564627467325</v>
      </c>
      <c r="Z24" s="32">
        <f>LOG(POWER((1-0.082490633*SIN(RADIANS(Q24)))/(1+0.082490633*SIN(RADIANS(Q24))),(0.082490633/2))*TAN(RADIANS((45+Q24/2))))*7915.70447</f>
        <v>2089.9940452942328</v>
      </c>
      <c r="AA24" s="32">
        <f>Y24-Z24</f>
        <v>262.96241745249972</v>
      </c>
      <c r="AB24" s="32">
        <f>ABS(DEGREES(ATAN(X24/AA24)))</f>
        <v>48.76409378209646</v>
      </c>
      <c r="AC24" s="32">
        <f>IF(S24&gt;0,IF(X24&gt;0,AB24,360-AB24),IF(X24&gt;0,180-AB24,180+AB24))</f>
        <v>48.76409378209646</v>
      </c>
      <c r="AD24" s="32">
        <f>ABS(T24/COS(RADIANS(AC24)))</f>
        <v>328.78423883250167</v>
      </c>
      <c r="AE24" s="33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</row>
    <row r="25" spans="2:46" ht="15">
      <c r="B25" s="11"/>
      <c r="C25" s="29"/>
      <c r="D25" s="224"/>
      <c r="E25" s="249"/>
      <c r="F25" s="280"/>
      <c r="G25" s="230"/>
      <c r="H25" s="265"/>
      <c r="I25" s="292"/>
      <c r="J25" s="230"/>
      <c r="K25" s="231"/>
      <c r="L25" s="274">
        <f>IF(D26="","",AC24)</f>
        <v>48.76409378209646</v>
      </c>
      <c r="M25" s="227">
        <f>IF(D26="","",AD24)</f>
        <v>328.78423883250167</v>
      </c>
      <c r="N25" s="227"/>
      <c r="O25" s="228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3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</row>
    <row r="26" spans="2:46" ht="15">
      <c r="B26" s="11"/>
      <c r="C26" s="29"/>
      <c r="D26" s="224">
        <f>IF(E26="","",D24+1)</f>
        <v>11</v>
      </c>
      <c r="E26" s="250">
        <v>36</v>
      </c>
      <c r="F26" s="279">
        <v>39.431696835319201</v>
      </c>
      <c r="G26" s="225" t="s">
        <v>9</v>
      </c>
      <c r="H26" s="262">
        <v>35</v>
      </c>
      <c r="I26" s="291">
        <v>0</v>
      </c>
      <c r="J26" s="225" t="s">
        <v>11</v>
      </c>
      <c r="K26" s="226" t="s">
        <v>310</v>
      </c>
      <c r="L26" s="274"/>
      <c r="M26" s="227"/>
      <c r="N26" s="227">
        <f>IF(D26="","",N24+M25)</f>
        <v>2166.7588405598303</v>
      </c>
      <c r="O26" s="228">
        <f>IF(D26="","",SUM(M27:M92))</f>
        <v>5879.1635738646855</v>
      </c>
      <c r="P26" s="32"/>
      <c r="Q26" s="32">
        <f>IF(G26="N",E26+F26/60,-E26-F26/60)</f>
        <v>36.65719494725532</v>
      </c>
      <c r="R26" s="32">
        <f>IF(IF(G28="N",E28+F28/60,-E28-F28/60)=Q26,IF(G28="N",E28+F28/60,-E28-F28/60)+0.000000001,IF(G28="N",E28+F28/60,-E28-F28/60))</f>
        <v>39.768519393994183</v>
      </c>
      <c r="S26" s="32">
        <f>R26-Q26</f>
        <v>3.1113244467388625</v>
      </c>
      <c r="T26" s="32">
        <f>S26*60</f>
        <v>186.67946680433175</v>
      </c>
      <c r="U26" s="32">
        <f>IF(J26="E",H26+I26/60,-H26-I26/60)</f>
        <v>-35</v>
      </c>
      <c r="V26" s="32">
        <f>IF(J28="E",H28+I28/60,-H28-I28/60)</f>
        <v>-30</v>
      </c>
      <c r="W26" s="32">
        <f>V26-U26</f>
        <v>5</v>
      </c>
      <c r="X26" s="32">
        <f>IF((W26*60)&gt;10800,-21600+W26*60,IF((W26*60)&lt;-10800,21600+W26*60,W26*60))</f>
        <v>300</v>
      </c>
      <c r="Y26" s="32">
        <f>LOG(POWER((1-0.082490633*SIN(RADIANS(R26)))/(1+0.082490633*SIN(RADIANS(R26))),(0.082490633/2))*TAN(RADIANS((45+R26/2))))*7915.70447</f>
        <v>2589.6121923922324</v>
      </c>
      <c r="Z26" s="32">
        <f>LOG(POWER((1-0.082490633*SIN(RADIANS(Q26)))/(1+0.082490633*SIN(RADIANS(Q26))),(0.082490633/2))*TAN(RADIANS((45+Q26/2))))*7915.70447</f>
        <v>2352.9564627467325</v>
      </c>
      <c r="AA26" s="32">
        <f>Y26-Z26</f>
        <v>236.65572964549983</v>
      </c>
      <c r="AB26" s="32">
        <f>ABS(DEGREES(ATAN(X26/AA26)))</f>
        <v>51.731771486482529</v>
      </c>
      <c r="AC26" s="32">
        <f>IF(S26&gt;0,IF(X26&gt;0,AB26,360-AB26),IF(X26&gt;0,180-AB26,180+AB26))</f>
        <v>51.731771486482529</v>
      </c>
      <c r="AD26" s="32">
        <f>ABS(T26/COS(RADIANS(AC26)))</f>
        <v>301.41494507277173</v>
      </c>
      <c r="AE26" s="33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</row>
    <row r="27" spans="2:46" ht="15">
      <c r="B27" s="11"/>
      <c r="C27" s="29"/>
      <c r="D27" s="224"/>
      <c r="E27" s="249"/>
      <c r="F27" s="280"/>
      <c r="G27" s="230"/>
      <c r="H27" s="265"/>
      <c r="I27" s="292"/>
      <c r="J27" s="230"/>
      <c r="K27" s="231"/>
      <c r="L27" s="274">
        <f>IF(D28="","",AC26)</f>
        <v>51.731771486482529</v>
      </c>
      <c r="M27" s="227">
        <f>IF(D28="","",AD26)</f>
        <v>301.41494507277173</v>
      </c>
      <c r="N27" s="227"/>
      <c r="O27" s="228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3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</row>
    <row r="28" spans="2:46" ht="15">
      <c r="B28" s="11"/>
      <c r="C28" s="29"/>
      <c r="D28" s="224">
        <f>IF(E28="","",D26+1)</f>
        <v>12</v>
      </c>
      <c r="E28" s="250">
        <v>39</v>
      </c>
      <c r="F28" s="279">
        <v>46.111163639650954</v>
      </c>
      <c r="G28" s="225" t="s">
        <v>9</v>
      </c>
      <c r="H28" s="262">
        <v>30</v>
      </c>
      <c r="I28" s="291">
        <v>0</v>
      </c>
      <c r="J28" s="225" t="s">
        <v>11</v>
      </c>
      <c r="K28" s="226" t="s">
        <v>311</v>
      </c>
      <c r="L28" s="274"/>
      <c r="M28" s="227"/>
      <c r="N28" s="227">
        <f>IF(D28="","",N26+M27)</f>
        <v>2468.1737856326022</v>
      </c>
      <c r="O28" s="228">
        <f>IF(D28="","",SUM(M29:M93))</f>
        <v>5577.7486287919146</v>
      </c>
      <c r="P28" s="32"/>
      <c r="Q28" s="32">
        <f>IF(G28="N",E28+F28/60,-E28-F28/60)</f>
        <v>39.768519393994183</v>
      </c>
      <c r="R28" s="32">
        <f>IF(IF(G30="N",E30+F30/60,-E30-F30/60)=Q28,IF(G30="N",E30+F30/60,-E30-F30/60)+0.000000001,IF(G30="N",E30+F30/60,-E30-F30/60))</f>
        <v>42.425032704490938</v>
      </c>
      <c r="S28" s="32">
        <f>R28-Q28</f>
        <v>2.6565133104967558</v>
      </c>
      <c r="T28" s="32">
        <f>S28*60</f>
        <v>159.39079862980535</v>
      </c>
      <c r="U28" s="32">
        <f>IF(J28="E",H28+I28/60,-H28-I28/60)</f>
        <v>-30</v>
      </c>
      <c r="V28" s="32">
        <f>IF(J30="E",H30+I30/60,-H30-I30/60)</f>
        <v>-25</v>
      </c>
      <c r="W28" s="32">
        <f>V28-U28</f>
        <v>5</v>
      </c>
      <c r="X28" s="32">
        <f>IF((W28*60)&gt;10800,-21600+W28*60,IF((W28*60)&lt;-10800,21600+W28*60,W28*60))</f>
        <v>300</v>
      </c>
      <c r="Y28" s="32">
        <f>LOG(POWER((1-0.082490633*SIN(RADIANS(R28)))/(1+0.082490633*SIN(RADIANS(R28))),(0.082490633/2))*TAN(RADIANS((45+R28/2))))*7915.70447</f>
        <v>2800.346018636802</v>
      </c>
      <c r="Z28" s="32">
        <f>LOG(POWER((1-0.082490633*SIN(RADIANS(Q28)))/(1+0.082490633*SIN(RADIANS(Q28))),(0.082490633/2))*TAN(RADIANS((45+Q28/2))))*7915.70447</f>
        <v>2589.6121923922324</v>
      </c>
      <c r="AA28" s="32">
        <f>Y28-Z28</f>
        <v>210.73382624456963</v>
      </c>
      <c r="AB28" s="32">
        <f>ABS(DEGREES(ATAN(X28/AA28)))</f>
        <v>54.914027122323532</v>
      </c>
      <c r="AC28" s="32">
        <f>IF(S28&gt;0,IF(X28&gt;0,AB28,360-AB28),IF(X28&gt;0,180-AB28,180+AB28))</f>
        <v>54.914027122323532</v>
      </c>
      <c r="AD28" s="32">
        <f>ABS(T28/COS(RADIANS(AC28)))</f>
        <v>277.29545919534655</v>
      </c>
      <c r="AE28" s="33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</row>
    <row r="29" spans="2:46" ht="15">
      <c r="B29" s="11"/>
      <c r="C29" s="29"/>
      <c r="D29" s="224"/>
      <c r="E29" s="252"/>
      <c r="F29" s="283"/>
      <c r="G29" s="231"/>
      <c r="H29" s="266"/>
      <c r="I29" s="295"/>
      <c r="J29" s="231"/>
      <c r="K29" s="231"/>
      <c r="L29" s="274">
        <f>IF(D30="","",AC28)</f>
        <v>54.914027122323532</v>
      </c>
      <c r="M29" s="227">
        <f>IF(D30="","",AD28)</f>
        <v>277.29545919534655</v>
      </c>
      <c r="N29" s="227"/>
      <c r="O29" s="228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3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</row>
    <row r="30" spans="2:46" ht="15">
      <c r="B30" s="11"/>
      <c r="C30" s="29"/>
      <c r="D30" s="224">
        <f>IF(E30="","",D28+1)</f>
        <v>13</v>
      </c>
      <c r="E30" s="253">
        <v>42</v>
      </c>
      <c r="F30" s="284">
        <v>25.5019622694563</v>
      </c>
      <c r="G30" s="233" t="s">
        <v>9</v>
      </c>
      <c r="H30" s="267">
        <v>25</v>
      </c>
      <c r="I30" s="285">
        <v>0</v>
      </c>
      <c r="J30" s="226" t="s">
        <v>11</v>
      </c>
      <c r="K30" s="226" t="s">
        <v>312</v>
      </c>
      <c r="L30" s="274"/>
      <c r="M30" s="227"/>
      <c r="N30" s="227">
        <f>IF(D30="","",N28+M29)</f>
        <v>2745.4692448279488</v>
      </c>
      <c r="O30" s="228">
        <f>IF(D30="","",SUM(M31:M94))</f>
        <v>5300.4531695965679</v>
      </c>
      <c r="P30" s="32"/>
      <c r="Q30" s="32">
        <f>IF(G30="N",E30+F30/60,-E30-F30/60)</f>
        <v>42.425032704490938</v>
      </c>
      <c r="R30" s="32">
        <f>IF(IF(G32="N",E32+F32/60,-E32-F32/60)=Q30,IF(G32="N",E32+F32/60,-E32-F32/60)+0.000000001,IF(G32="N",E32+F32/60,-E32-F32/60))</f>
        <v>44.67329203265156</v>
      </c>
      <c r="S30" s="32">
        <f>R30-Q30</f>
        <v>2.2482593281606214</v>
      </c>
      <c r="T30" s="32">
        <f>S30*60</f>
        <v>134.89555968963728</v>
      </c>
      <c r="U30" s="32">
        <f>IF(J30="E",H30+I30/60,-H30-I30/60)</f>
        <v>-25</v>
      </c>
      <c r="V30" s="32">
        <f>IF(J32="E",H32+I32/60,-H32-I32/60)</f>
        <v>-20</v>
      </c>
      <c r="W30" s="32">
        <f>V30-U30</f>
        <v>5</v>
      </c>
      <c r="X30" s="32">
        <f>IF((W30*60)&gt;10800,-21600+W30*60,IF((W30*60)&lt;-10800,21600+W30*60,W30*60))</f>
        <v>300</v>
      </c>
      <c r="Y30" s="32">
        <f>LOG(POWER((1-0.082490633*SIN(RADIANS(R30)))/(1+0.082490633*SIN(RADIANS(R30))),(0.082490633/2))*TAN(RADIANS((45+R30/2))))*7915.70447</f>
        <v>2985.8305703528945</v>
      </c>
      <c r="Z30" s="32">
        <f>LOG(POWER((1-0.082490633*SIN(RADIANS(Q30)))/(1+0.082490633*SIN(RADIANS(Q30))),(0.082490633/2))*TAN(RADIANS((45+Q30/2))))*7915.70447</f>
        <v>2800.346018636802</v>
      </c>
      <c r="AA30" s="32">
        <f>Y30-Z30</f>
        <v>185.48455171609248</v>
      </c>
      <c r="AB30" s="32">
        <f>ABS(DEGREES(ATAN(X30/AA30)))</f>
        <v>58.272250949206651</v>
      </c>
      <c r="AC30" s="32">
        <f>IF(S30&gt;0,IF(X30&gt;0,AB30,360-AB30),IF(X30&gt;0,180-AB30,180+AB30))</f>
        <v>58.272250949206651</v>
      </c>
      <c r="AD30" s="32">
        <f>ABS(T30/COS(RADIANS(AC30)))</f>
        <v>256.512177695096</v>
      </c>
      <c r="AE30" s="33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</row>
    <row r="31" spans="2:46" ht="15">
      <c r="B31" s="11"/>
      <c r="C31" s="29"/>
      <c r="D31" s="224"/>
      <c r="E31" s="252"/>
      <c r="F31" s="283"/>
      <c r="G31" s="231"/>
      <c r="H31" s="266"/>
      <c r="I31" s="295"/>
      <c r="J31" s="231"/>
      <c r="K31" s="231"/>
      <c r="L31" s="274">
        <f>IF(D32="","",AC30)</f>
        <v>58.272250949206651</v>
      </c>
      <c r="M31" s="227">
        <f>IF(D32="","",AD30)</f>
        <v>256.512177695096</v>
      </c>
      <c r="N31" s="227"/>
      <c r="O31" s="228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3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</row>
    <row r="32" spans="2:46" ht="15">
      <c r="B32" s="11"/>
      <c r="C32" s="29"/>
      <c r="D32" s="224">
        <f>IF(E32="","",D30+1)</f>
        <v>14</v>
      </c>
      <c r="E32" s="253">
        <v>44</v>
      </c>
      <c r="F32" s="284">
        <v>40.397521959093581</v>
      </c>
      <c r="G32" s="233" t="s">
        <v>9</v>
      </c>
      <c r="H32" s="267">
        <v>20</v>
      </c>
      <c r="I32" s="285">
        <v>0</v>
      </c>
      <c r="J32" s="226" t="s">
        <v>11</v>
      </c>
      <c r="K32" s="226" t="s">
        <v>313</v>
      </c>
      <c r="L32" s="274"/>
      <c r="M32" s="227"/>
      <c r="N32" s="227">
        <f>IF(D32="","",N30+M31)</f>
        <v>3001.9814225230448</v>
      </c>
      <c r="O32" s="228">
        <f>IF(D32="","",SUM(M33:M95))</f>
        <v>5043.9409919014724</v>
      </c>
      <c r="P32" s="32"/>
      <c r="Q32" s="32">
        <f>IF(G32="N",E32+F32/60,-E32-F32/60)</f>
        <v>44.67329203265156</v>
      </c>
      <c r="R32" s="32">
        <f>IF(IF(G34="N",E34+F34/60,-E34-F34/60)=Q32,IF(G34="N",E34+F34/60,-E34-F34/60)+0.000000001,IF(G34="N",E34+F34/60,-E34-F34/60))</f>
        <v>46.556657978746649</v>
      </c>
      <c r="S32" s="32">
        <f>R32-Q32</f>
        <v>1.8833659460950898</v>
      </c>
      <c r="T32" s="32">
        <f>S32*60</f>
        <v>113.00195676570539</v>
      </c>
      <c r="U32" s="32">
        <f>IF(J32="E",H32+I32/60,-H32-I32/60)</f>
        <v>-20</v>
      </c>
      <c r="V32" s="32">
        <f>IF(J34="E",H34+I34/60,-H34-I34/60)</f>
        <v>-15</v>
      </c>
      <c r="W32" s="32">
        <f>V32-U32</f>
        <v>5</v>
      </c>
      <c r="X32" s="32">
        <f>IF((W32*60)&gt;10800,-21600+W32*60,IF((W32*60)&lt;-10800,21600+W32*60,W32*60))</f>
        <v>300</v>
      </c>
      <c r="Y32" s="32">
        <f>LOG(POWER((1-0.082490633*SIN(RADIANS(R32)))/(1+0.082490633*SIN(RADIANS(R32))),(0.082490633/2))*TAN(RADIANS((45+R32/2))))*7915.70447</f>
        <v>3146.8654903400525</v>
      </c>
      <c r="Z32" s="32">
        <f>LOG(POWER((1-0.082490633*SIN(RADIANS(Q32)))/(1+0.082490633*SIN(RADIANS(Q32))),(0.082490633/2))*TAN(RADIANS((45+Q32/2))))*7915.70447</f>
        <v>2985.8305703528945</v>
      </c>
      <c r="AA32" s="32">
        <f>Y32-Z32</f>
        <v>161.03491998715799</v>
      </c>
      <c r="AB32" s="32">
        <f>ABS(DEGREES(ATAN(X32/AA32)))</f>
        <v>61.773849769212951</v>
      </c>
      <c r="AC32" s="32">
        <f>IF(S32&gt;0,IF(X32&gt;0,AB32,360-AB32),IF(X32&gt;0,180-AB32,180+AB32))</f>
        <v>61.773849769212951</v>
      </c>
      <c r="AD32" s="32">
        <f>ABS(T32/COS(RADIANS(AC32)))</f>
        <v>238.92853812159748</v>
      </c>
      <c r="AE32" s="33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</row>
    <row r="33" spans="2:46" ht="15">
      <c r="B33" s="11"/>
      <c r="C33" s="29"/>
      <c r="D33" s="224"/>
      <c r="E33" s="252"/>
      <c r="F33" s="283"/>
      <c r="G33" s="231"/>
      <c r="H33" s="266"/>
      <c r="I33" s="295"/>
      <c r="J33" s="231"/>
      <c r="K33" s="231"/>
      <c r="L33" s="274">
        <f>IF(D34="","",AC32)</f>
        <v>61.773849769212951</v>
      </c>
      <c r="M33" s="227">
        <f>IF(D34="","",AD32)</f>
        <v>238.92853812159748</v>
      </c>
      <c r="N33" s="227"/>
      <c r="O33" s="228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3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</row>
    <row r="34" spans="2:46" ht="15">
      <c r="B34" s="11"/>
      <c r="C34" s="29"/>
      <c r="D34" s="224">
        <f>IF(E34="","",D32+1)</f>
        <v>15</v>
      </c>
      <c r="E34" s="253">
        <v>46</v>
      </c>
      <c r="F34" s="285">
        <v>33.399478724798968</v>
      </c>
      <c r="G34" s="226" t="s">
        <v>9</v>
      </c>
      <c r="H34" s="268">
        <v>15</v>
      </c>
      <c r="I34" s="296">
        <v>0</v>
      </c>
      <c r="J34" s="226" t="s">
        <v>11</v>
      </c>
      <c r="K34" s="226" t="s">
        <v>314</v>
      </c>
      <c r="L34" s="274"/>
      <c r="M34" s="227"/>
      <c r="N34" s="227">
        <f>IF(D34="","",N32+M33)</f>
        <v>3240.9099606446421</v>
      </c>
      <c r="O34" s="228">
        <f>IF(D34="","",SUM(M35:M96))</f>
        <v>4805.0124537798747</v>
      </c>
      <c r="P34" s="32"/>
      <c r="Q34" s="32">
        <f>IF(G34="N",E34+F34/60,-E34-F34/60)</f>
        <v>46.556657978746649</v>
      </c>
      <c r="R34" s="32">
        <f>IF(IF(G36="N",E36+F36/60,-E36-F36/60)=Q34,IF(G36="N",E36+F36/60,-E36-F36/60)+0.000000001,IF(G36="N",E36+F36/60,-E36-F36/60))</f>
        <v>48.113392683186035</v>
      </c>
      <c r="S34" s="32">
        <f>R34-Q34</f>
        <v>1.5567347044393856</v>
      </c>
      <c r="T34" s="32">
        <f>S34*60</f>
        <v>93.404082266363133</v>
      </c>
      <c r="U34" s="32">
        <f>IF(J34="E",H34+I34/60,-H34-I34/60)</f>
        <v>-15</v>
      </c>
      <c r="V34" s="32">
        <f>IF(J36="E",H36+I36/60,-H36-I36/60)</f>
        <v>-10</v>
      </c>
      <c r="W34" s="32">
        <f>V34-U34</f>
        <v>5</v>
      </c>
      <c r="X34" s="32">
        <f>IF((W34*60)&gt;10800,-21600+W34*60,IF((W34*60)&lt;-10800,21600+W34*60,W34*60))</f>
        <v>300</v>
      </c>
      <c r="Y34" s="32">
        <f>LOG(POWER((1-0.082490633*SIN(RADIANS(R34)))/(1+0.082490633*SIN(RADIANS(R34))),(0.082490633/2))*TAN(RADIANS((45+R34/2))))*7915.70447</f>
        <v>3284.2704190359832</v>
      </c>
      <c r="Z34" s="32">
        <f>LOG(POWER((1-0.082490633*SIN(RADIANS(Q34)))/(1+0.082490633*SIN(RADIANS(Q34))),(0.082490633/2))*TAN(RADIANS((45+Q34/2))))*7915.70447</f>
        <v>3146.8654903400525</v>
      </c>
      <c r="AA34" s="32">
        <f>Y34-Z34</f>
        <v>137.40492869593072</v>
      </c>
      <c r="AB34" s="32">
        <f>ABS(DEGREES(ATAN(X34/AA34)))</f>
        <v>65.391442171480605</v>
      </c>
      <c r="AC34" s="32">
        <f>IF(S34&gt;0,IF(X34&gt;0,AB34,360-AB34),IF(X34&gt;0,180-AB34,180+AB34))</f>
        <v>65.391442171480605</v>
      </c>
      <c r="AD34" s="32">
        <f>ABS(T34/COS(RADIANS(AC34)))</f>
        <v>224.30441964102721</v>
      </c>
      <c r="AE34" s="33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</row>
    <row r="35" spans="2:46" ht="15">
      <c r="B35" s="11"/>
      <c r="C35" s="29"/>
      <c r="D35" s="224"/>
      <c r="E35" s="254"/>
      <c r="F35" s="286"/>
      <c r="G35" s="234"/>
      <c r="H35" s="269"/>
      <c r="I35" s="297"/>
      <c r="J35" s="235"/>
      <c r="K35" s="231"/>
      <c r="L35" s="274">
        <f>IF(D36="","",AC34)</f>
        <v>65.391442171480605</v>
      </c>
      <c r="M35" s="227">
        <f>IF(D36="","",AD34)</f>
        <v>224.30441964102721</v>
      </c>
      <c r="N35" s="227"/>
      <c r="O35" s="228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3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</row>
    <row r="36" spans="2:46" ht="15">
      <c r="B36" s="11"/>
      <c r="C36" s="29"/>
      <c r="D36" s="224">
        <f>IF(E36="","",D34+1)</f>
        <v>16</v>
      </c>
      <c r="E36" s="253">
        <v>48</v>
      </c>
      <c r="F36" s="285">
        <v>6.8035609911621009</v>
      </c>
      <c r="G36" s="226" t="s">
        <v>9</v>
      </c>
      <c r="H36" s="268">
        <v>10</v>
      </c>
      <c r="I36" s="296">
        <v>0</v>
      </c>
      <c r="J36" s="226" t="s">
        <v>11</v>
      </c>
      <c r="K36" s="226" t="s">
        <v>315</v>
      </c>
      <c r="L36" s="274"/>
      <c r="M36" s="227"/>
      <c r="N36" s="227">
        <f>IF(D36="","",N34+M35)</f>
        <v>3465.2143802856694</v>
      </c>
      <c r="O36" s="228">
        <f>IF(D36="","",SUM(M37:M97))</f>
        <v>4580.7080341388473</v>
      </c>
      <c r="P36" s="32"/>
      <c r="Q36" s="32">
        <f>IF(G36="N",E36+F36/60,-E36-F36/60)</f>
        <v>48.113392683186035</v>
      </c>
      <c r="R36" s="32">
        <f>IF(IF(G38="N",E38+F38/60,-E38-F38/60)=Q36,IF(G38="N",E38+F38/60,-E38-F38/60)+0.000000001,IF(G38="N",E38+F38/60,-E38-F38/60))</f>
        <v>49.375952618340484</v>
      </c>
      <c r="S36" s="32">
        <f>R36-Q36</f>
        <v>1.2625599351544494</v>
      </c>
      <c r="T36" s="32">
        <f>S36*60</f>
        <v>75.753596109266965</v>
      </c>
      <c r="U36" s="32">
        <f>IF(J36="E",H36+I36/60,-H36-I36/60)</f>
        <v>-10</v>
      </c>
      <c r="V36" s="32">
        <f>IF(J38="E",H38+I38/60,-H38-I38/60)</f>
        <v>-5</v>
      </c>
      <c r="W36" s="32">
        <f>V36-U36</f>
        <v>5</v>
      </c>
      <c r="X36" s="32">
        <f>IF((W36*60)&gt;10800,-21600+W36*60,IF((W36*60)&lt;-10800,21600+W36*60,W36*60))</f>
        <v>300</v>
      </c>
      <c r="Y36" s="32">
        <f>LOG(POWER((1-0.082490633*SIN(RADIANS(R36)))/(1+0.082490633*SIN(RADIANS(R36))),(0.082490633/2))*TAN(RADIANS((45+R36/2))))*7915.70447</f>
        <v>3398.8174413626516</v>
      </c>
      <c r="Z36" s="32">
        <f>LOG(POWER((1-0.082490633*SIN(RADIANS(Q36)))/(1+0.082490633*SIN(RADIANS(Q36))),(0.082490633/2))*TAN(RADIANS((45+Q36/2))))*7915.70447</f>
        <v>3284.2704190359832</v>
      </c>
      <c r="AA36" s="32">
        <f>Y36-Z36</f>
        <v>114.54702232666841</v>
      </c>
      <c r="AB36" s="32">
        <f>ABS(DEGREES(ATAN(X36/AA36)))</f>
        <v>69.101973174994356</v>
      </c>
      <c r="AC36" s="32">
        <f>IF(S36&gt;0,IF(X36&gt;0,AB36,360-AB36),IF(X36&gt;0,180-AB36,180+AB36))</f>
        <v>69.101973174994356</v>
      </c>
      <c r="AD36" s="32">
        <f>ABS(T36/COS(RADIANS(AC36)))</f>
        <v>212.36994313001787</v>
      </c>
      <c r="AE36" s="33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</row>
    <row r="37" spans="2:46" ht="15">
      <c r="B37" s="11"/>
      <c r="C37" s="29"/>
      <c r="D37" s="224"/>
      <c r="E37" s="255"/>
      <c r="F37" s="287"/>
      <c r="G37" s="236"/>
      <c r="H37" s="270"/>
      <c r="I37" s="298"/>
      <c r="J37" s="236"/>
      <c r="K37" s="231"/>
      <c r="L37" s="274">
        <f>IF(D38="","",AC36)</f>
        <v>69.101973174994356</v>
      </c>
      <c r="M37" s="227">
        <f>IF(D38="","",AD36)</f>
        <v>212.36994313001787</v>
      </c>
      <c r="N37" s="227"/>
      <c r="O37" s="228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3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</row>
    <row r="38" spans="2:46" ht="15">
      <c r="B38" s="11"/>
      <c r="C38" s="29"/>
      <c r="D38" s="224">
        <f>IF(E38="","",D36+1)</f>
        <v>17</v>
      </c>
      <c r="E38" s="253">
        <v>49</v>
      </c>
      <c r="F38" s="285">
        <v>22.557157100429066</v>
      </c>
      <c r="G38" s="226" t="s">
        <v>9</v>
      </c>
      <c r="H38" s="268">
        <v>5</v>
      </c>
      <c r="I38" s="296">
        <v>0</v>
      </c>
      <c r="J38" s="226" t="s">
        <v>11</v>
      </c>
      <c r="K38" s="226" t="s">
        <v>316</v>
      </c>
      <c r="L38" s="274"/>
      <c r="M38" s="227"/>
      <c r="N38" s="227">
        <f>IF(D38="","",N36+M37)</f>
        <v>3677.5843234156873</v>
      </c>
      <c r="O38" s="228">
        <f>IF(D38="","",SUM(M39:M98))</f>
        <v>4368.338091008829</v>
      </c>
      <c r="P38" s="32"/>
      <c r="Q38" s="32">
        <f>IF(G38="N",E38+F38/60,-E38-F38/60)</f>
        <v>49.375952618340484</v>
      </c>
      <c r="R38" s="32">
        <f>IF(IF(G40="N",E40+F40/60,-E40-F40/60)=Q38,IF(G40="N",E40+F40/60,-E40-F40/60)+0.000000001,IF(G40="N",E40+F40/60,-E40-F40/60))</f>
        <v>49.75</v>
      </c>
      <c r="S38" s="32">
        <f>R38-Q38</f>
        <v>0.37404738165951557</v>
      </c>
      <c r="T38" s="32">
        <f>S38*60</f>
        <v>22.442842899570934</v>
      </c>
      <c r="U38" s="32">
        <f>IF(J38="E",H38+I38/60,-H38-I38/60)</f>
        <v>-5</v>
      </c>
      <c r="V38" s="32">
        <f>IF(J40="E",H40+I40/60,-H40-I40/60)</f>
        <v>-3.2666666666666666</v>
      </c>
      <c r="W38" s="32">
        <f>V38-U38</f>
        <v>1.7333333333333334</v>
      </c>
      <c r="X38" s="32">
        <f>IF((W38*60)&gt;10800,-21600+W38*60,IF((W38*60)&lt;-10800,21600+W38*60,W38*60))</f>
        <v>104</v>
      </c>
      <c r="Y38" s="32">
        <f>LOG(POWER((1-0.082490633*SIN(RADIANS(R38)))/(1+0.082490633*SIN(RADIANS(R38))),(0.082490633/2))*TAN(RADIANS((45+R38/2))))*7915.70447</f>
        <v>3433.3195714212811</v>
      </c>
      <c r="Z38" s="32">
        <f>LOG(POWER((1-0.082490633*SIN(RADIANS(Q38)))/(1+0.082490633*SIN(RADIANS(Q38))),(0.082490633/2))*TAN(RADIANS((45+Q38/2))))*7915.70447</f>
        <v>3398.8174413626516</v>
      </c>
      <c r="AA38" s="32">
        <f>Y38-Z38</f>
        <v>34.502130058629518</v>
      </c>
      <c r="AB38" s="32">
        <f>ABS(DEGREES(ATAN(X38/AA38)))</f>
        <v>71.646671860078925</v>
      </c>
      <c r="AC38" s="32">
        <f>IF(S38&gt;0,IF(X38&gt;0,AB38,360-AB38),IF(X38&gt;0,180-AB38,180+AB38))</f>
        <v>71.646671860078925</v>
      </c>
      <c r="AD38" s="32">
        <f>ABS(T38/COS(RADIANS(AC38)))</f>
        <v>71.275178040889486</v>
      </c>
      <c r="AE38" s="33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</row>
    <row r="39" spans="2:46" ht="15">
      <c r="B39" s="11"/>
      <c r="C39" s="29"/>
      <c r="D39" s="224"/>
      <c r="E39" s="254"/>
      <c r="F39" s="278"/>
      <c r="G39" s="235"/>
      <c r="H39" s="271"/>
      <c r="I39" s="299"/>
      <c r="J39" s="235"/>
      <c r="K39" s="231"/>
      <c r="L39" s="274">
        <f>IF(D40="","",AC38)</f>
        <v>71.646671860078925</v>
      </c>
      <c r="M39" s="227">
        <f>IF(D40="","",AD38)</f>
        <v>71.275178040889486</v>
      </c>
      <c r="N39" s="227"/>
      <c r="O39" s="228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3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</row>
    <row r="40" spans="2:46" ht="15">
      <c r="B40" s="11"/>
      <c r="C40" s="29"/>
      <c r="D40" s="224">
        <f>IF(E40="","",D38+1)</f>
        <v>18</v>
      </c>
      <c r="E40" s="253">
        <v>49</v>
      </c>
      <c r="F40" s="285">
        <v>45</v>
      </c>
      <c r="G40" s="226" t="s">
        <v>9</v>
      </c>
      <c r="H40" s="268">
        <v>3</v>
      </c>
      <c r="I40" s="296">
        <v>16</v>
      </c>
      <c r="J40" s="226" t="s">
        <v>11</v>
      </c>
      <c r="K40" s="226" t="s">
        <v>317</v>
      </c>
      <c r="L40" s="274"/>
      <c r="M40" s="227"/>
      <c r="N40" s="227">
        <f>IF(D40="","",N38+M39)</f>
        <v>3748.8595014565767</v>
      </c>
      <c r="O40" s="228">
        <f>IF(D40="","",SUM(M41:M99))</f>
        <v>4297.0629129679401</v>
      </c>
      <c r="P40" s="32"/>
      <c r="Q40" s="32">
        <f>IF(G40="N",E40+F40/60,-E40-F40/60)</f>
        <v>49.75</v>
      </c>
      <c r="R40" s="32">
        <f>IF(IF(G42="N",E42+F42/60,-E42-F42/60)=Q40,IF(G42="N",E42+F42/60,-E42-F42/60)+0.000000001,IF(G42="N",E42+F42/60,-E42-F42/60))</f>
        <v>50.5</v>
      </c>
      <c r="S40" s="32">
        <f>R40-Q40</f>
        <v>0.75</v>
      </c>
      <c r="T40" s="32">
        <f>S40*60</f>
        <v>45</v>
      </c>
      <c r="U40" s="32">
        <f>IF(J40="E",H40+I40/60,-H40-I40/60)</f>
        <v>-3.2666666666666666</v>
      </c>
      <c r="V40" s="32">
        <f>IF(J42="E",H42+I42/60,-H42-I42/60)</f>
        <v>1</v>
      </c>
      <c r="W40" s="32">
        <f>V40-U40</f>
        <v>4.2666666666666666</v>
      </c>
      <c r="X40" s="32">
        <f>IF((W40*60)&gt;10800,-21600+W40*60,IF((W40*60)&lt;-10800,21600+W40*60,W40*60))</f>
        <v>256</v>
      </c>
      <c r="Y40" s="32">
        <f>LOG(POWER((1-0.082490633*SIN(RADIANS(R40)))/(1+0.082490633*SIN(RADIANS(R40))),(0.082490633/2))*TAN(RADIANS((45+R40/2))))*7915.70447</f>
        <v>3503.3146373293948</v>
      </c>
      <c r="Z40" s="32">
        <f>LOG(POWER((1-0.082490633*SIN(RADIANS(Q40)))/(1+0.082490633*SIN(RADIANS(Q40))),(0.082490633/2))*TAN(RADIANS((45+Q40/2))))*7915.70447</f>
        <v>3433.3195714212811</v>
      </c>
      <c r="AA40" s="32">
        <f>Y40-Z40</f>
        <v>69.995065908113702</v>
      </c>
      <c r="AB40" s="32">
        <f>ABS(DEGREES(ATAN(X40/AA40)))</f>
        <v>74.708039803237369</v>
      </c>
      <c r="AC40" s="32">
        <f>IF(S40&gt;0,IF(X40&gt;0,AB40,360-AB40),IF(X40&gt;0,180-AB40,180+AB40))</f>
        <v>74.708039803237369</v>
      </c>
      <c r="AD40" s="32">
        <f>ABS(T40/COS(RADIANS(AC40)))</f>
        <v>170.6240710231726</v>
      </c>
      <c r="AE40" s="33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</row>
    <row r="41" spans="2:46" ht="15">
      <c r="B41" s="11"/>
      <c r="C41" s="29"/>
      <c r="D41" s="224"/>
      <c r="E41" s="254"/>
      <c r="F41" s="278"/>
      <c r="G41" s="235"/>
      <c r="H41" s="271"/>
      <c r="I41" s="299"/>
      <c r="J41" s="235"/>
      <c r="K41" s="231"/>
      <c r="L41" s="274">
        <f>IF(D42="","",AC40)</f>
        <v>74.708039803237369</v>
      </c>
      <c r="M41" s="227">
        <f>IF(D42="","",AD40)</f>
        <v>170.6240710231726</v>
      </c>
      <c r="N41" s="227"/>
      <c r="O41" s="228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3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</row>
    <row r="42" spans="2:46" ht="15">
      <c r="B42" s="11"/>
      <c r="C42" s="29"/>
      <c r="D42" s="224">
        <f>IF(E42="","",D40+1)</f>
        <v>19</v>
      </c>
      <c r="E42" s="253">
        <v>50</v>
      </c>
      <c r="F42" s="285">
        <v>30</v>
      </c>
      <c r="G42" s="226" t="s">
        <v>9</v>
      </c>
      <c r="H42" s="268">
        <v>1</v>
      </c>
      <c r="I42" s="296">
        <v>0</v>
      </c>
      <c r="J42" s="226" t="s">
        <v>76</v>
      </c>
      <c r="K42" s="226" t="s">
        <v>318</v>
      </c>
      <c r="L42" s="274"/>
      <c r="M42" s="227"/>
      <c r="N42" s="227">
        <f>IF(D42="","",N40+M41)</f>
        <v>3919.4835724797495</v>
      </c>
      <c r="O42" s="228">
        <f>IF(D42="","",SUM(M43:M100))</f>
        <v>4126.4388419447669</v>
      </c>
      <c r="P42" s="32"/>
      <c r="Q42" s="32">
        <f>IF(G42="N",E42+F42/60,-E42-F42/60)</f>
        <v>50.5</v>
      </c>
      <c r="R42" s="32">
        <f>IF(IF(G44="N",E44+F44/60,-E44-F44/60)=Q42,IF(G44="N",E44+F44/60,-E44-F44/60)+0.000000001,IF(G44="N",E44+F44/60,-E44-F44/60))</f>
        <v>50.7</v>
      </c>
      <c r="S42" s="32">
        <f>R42-Q42</f>
        <v>0.20000000000000284</v>
      </c>
      <c r="T42" s="32">
        <f>S42*60</f>
        <v>12.000000000000171</v>
      </c>
      <c r="U42" s="32">
        <f>IF(J42="E",H42+I42/60,-H42-I42/60)</f>
        <v>1</v>
      </c>
      <c r="V42" s="32">
        <f>IF(J44="E",H44+I44/60,-H44-I44/60)</f>
        <v>1.3666666666666667</v>
      </c>
      <c r="W42" s="32">
        <f>V42-U42</f>
        <v>0.3666666666666667</v>
      </c>
      <c r="X42" s="32">
        <f>IF((W42*60)&gt;10800,-21600+W42*60,IF((W42*60)&lt;-10800,21600+W42*60,W42*60))</f>
        <v>22</v>
      </c>
      <c r="Y42" s="32">
        <f>LOG(POWER((1-0.082490633*SIN(RADIANS(R42)))/(1+0.082490633*SIN(RADIANS(R42))),(0.082490633/2))*TAN(RADIANS((45+R42/2))))*7915.70447</f>
        <v>3522.1682952570736</v>
      </c>
      <c r="Z42" s="32">
        <f>LOG(POWER((1-0.082490633*SIN(RADIANS(Q42)))/(1+0.082490633*SIN(RADIANS(Q42))),(0.082490633/2))*TAN(RADIANS((45+Q42/2))))*7915.70447</f>
        <v>3503.3146373293948</v>
      </c>
      <c r="AA42" s="32">
        <f>Y42-Z42</f>
        <v>18.853657927678796</v>
      </c>
      <c r="AB42" s="32">
        <f>ABS(DEGREES(ATAN(X42/AA42)))</f>
        <v>49.403937805043874</v>
      </c>
      <c r="AC42" s="32">
        <f>IF(S42&gt;0,IF(X42&gt;0,AB42,360-AB42),IF(X42&gt;0,180-AB42,180+AB42))</f>
        <v>49.403937805043874</v>
      </c>
      <c r="AD42" s="32">
        <f>ABS(T42/COS(RADIANS(AC42)))</f>
        <v>18.441053776250044</v>
      </c>
      <c r="AE42" s="33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</row>
    <row r="43" spans="2:46" ht="15">
      <c r="B43" s="11"/>
      <c r="C43" s="29"/>
      <c r="D43" s="224"/>
      <c r="E43" s="254"/>
      <c r="F43" s="278"/>
      <c r="G43" s="235"/>
      <c r="H43" s="271"/>
      <c r="I43" s="299"/>
      <c r="J43" s="235"/>
      <c r="K43" s="231"/>
      <c r="L43" s="274">
        <f>IF(D44="","",AC42)</f>
        <v>49.403937805043874</v>
      </c>
      <c r="M43" s="227">
        <f>IF(D44="","",AD42)</f>
        <v>18.441053776250044</v>
      </c>
      <c r="N43" s="227"/>
      <c r="O43" s="228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3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</row>
    <row r="44" spans="2:46" ht="15">
      <c r="B44" s="11"/>
      <c r="C44" s="29"/>
      <c r="D44" s="224">
        <f>IF(E44="","",D42+1)</f>
        <v>20</v>
      </c>
      <c r="E44" s="253">
        <v>50</v>
      </c>
      <c r="F44" s="285">
        <v>42</v>
      </c>
      <c r="G44" s="226" t="s">
        <v>9</v>
      </c>
      <c r="H44" s="268">
        <v>1</v>
      </c>
      <c r="I44" s="296">
        <v>22</v>
      </c>
      <c r="J44" s="226" t="s">
        <v>76</v>
      </c>
      <c r="K44" s="226" t="s">
        <v>319</v>
      </c>
      <c r="L44" s="274"/>
      <c r="M44" s="227"/>
      <c r="N44" s="227">
        <f>IF(D44="","",N42+M43)</f>
        <v>3937.9246262559996</v>
      </c>
      <c r="O44" s="228">
        <f>IF(D44="","",SUM(M45:M101))</f>
        <v>4107.9977881685172</v>
      </c>
      <c r="P44" s="32"/>
      <c r="Q44" s="32">
        <f>IF(G44="N",E44+F44/60,-E44-F44/60)</f>
        <v>50.7</v>
      </c>
      <c r="R44" s="32">
        <f>IF(IF(G46="N",E46+F46/60,-E46-F46/60)=Q44,IF(G46="N",E46+F46/60,-E46-F46/60)+0.000000001,IF(G46="N",E46+F46/60,-E46-F46/60))</f>
        <v>50.9</v>
      </c>
      <c r="S44" s="32">
        <f>R44-Q44</f>
        <v>0.19999999999999574</v>
      </c>
      <c r="T44" s="32">
        <f>S44*60</f>
        <v>11.999999999999744</v>
      </c>
      <c r="U44" s="32">
        <f>IF(J44="E",H44+I44/60,-H44-I44/60)</f>
        <v>1.3666666666666667</v>
      </c>
      <c r="V44" s="32">
        <f>IF(J46="E",H46+I46/60,-H46-I46/60)</f>
        <v>1.4666666666666668</v>
      </c>
      <c r="W44" s="32">
        <f>V44-U44</f>
        <v>0.10000000000000009</v>
      </c>
      <c r="X44" s="32">
        <f>IF((W44*60)&gt;10800,-21600+W44*60,IF((W44*60)&lt;-10800,21600+W44*60,W44*60))</f>
        <v>6.0000000000000053</v>
      </c>
      <c r="Y44" s="32">
        <f>LOG(POWER((1-0.082490633*SIN(RADIANS(R44)))/(1+0.082490633*SIN(RADIANS(R44))),(0.082490633/2))*TAN(RADIANS((45+R44/2))))*7915.70447</f>
        <v>3541.1029743386998</v>
      </c>
      <c r="Z44" s="32">
        <f>LOG(POWER((1-0.082490633*SIN(RADIANS(Q44)))/(1+0.082490633*SIN(RADIANS(Q44))),(0.082490633/2))*TAN(RADIANS((45+Q44/2))))*7915.70447</f>
        <v>3522.1682952570736</v>
      </c>
      <c r="AA44" s="32">
        <f>Y44-Z44</f>
        <v>18.9346790816262</v>
      </c>
      <c r="AB44" s="32">
        <f>ABS(DEGREES(ATAN(X44/AA44)))</f>
        <v>17.582309157403976</v>
      </c>
      <c r="AC44" s="32">
        <f>IF(S44&gt;0,IF(X44&gt;0,AB44,360-AB44),IF(X44&gt;0,180-AB44,180+AB44))</f>
        <v>17.582309157403976</v>
      </c>
      <c r="AD44" s="32">
        <f>ABS(T44/COS(RADIANS(AC44)))</f>
        <v>12.588064220534957</v>
      </c>
      <c r="AE44" s="33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</row>
    <row r="45" spans="2:46" ht="15">
      <c r="B45" s="11"/>
      <c r="C45" s="29"/>
      <c r="D45" s="224"/>
      <c r="E45" s="254"/>
      <c r="F45" s="278"/>
      <c r="G45" s="235"/>
      <c r="H45" s="271"/>
      <c r="I45" s="299"/>
      <c r="J45" s="235"/>
      <c r="K45" s="231"/>
      <c r="L45" s="274">
        <f>IF(D46="","",AC44)</f>
        <v>17.582309157403976</v>
      </c>
      <c r="M45" s="227">
        <f>IF(D46="","",AD44)</f>
        <v>12.588064220534957</v>
      </c>
      <c r="N45" s="227"/>
      <c r="O45" s="228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3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</row>
    <row r="46" spans="2:46" ht="15">
      <c r="B46" s="11"/>
      <c r="C46" s="29"/>
      <c r="D46" s="224">
        <f>IF(E46="","",D44+1)</f>
        <v>21</v>
      </c>
      <c r="E46" s="253">
        <v>50</v>
      </c>
      <c r="F46" s="285">
        <v>54</v>
      </c>
      <c r="G46" s="226" t="s">
        <v>9</v>
      </c>
      <c r="H46" s="268">
        <v>1</v>
      </c>
      <c r="I46" s="296">
        <v>28</v>
      </c>
      <c r="J46" s="226" t="s">
        <v>76</v>
      </c>
      <c r="K46" s="226" t="s">
        <v>320</v>
      </c>
      <c r="L46" s="274"/>
      <c r="M46" s="227"/>
      <c r="N46" s="227">
        <f>IF(D46="","",N44+M45)</f>
        <v>3950.5126904765343</v>
      </c>
      <c r="O46" s="228">
        <f>IF(D46="","",SUM(M47:M102))</f>
        <v>4095.4097239479815</v>
      </c>
      <c r="P46" s="32"/>
      <c r="Q46" s="32">
        <f>IF(G46="N",E46+F46/60,-E46-F46/60)</f>
        <v>50.9</v>
      </c>
      <c r="R46" s="32">
        <f>IF(IF(G48="N",E48+F48/60,-E48-F48/60)=Q46,IF(G48="N",E48+F48/60,-E48-F48/60)+0.000000001,IF(G48="N",E48+F48/60,-E48-F48/60))</f>
        <v>51.125</v>
      </c>
      <c r="S46" s="32">
        <f>R46-Q46</f>
        <v>0.22500000000000142</v>
      </c>
      <c r="T46" s="32">
        <f>S46*60</f>
        <v>13.500000000000085</v>
      </c>
      <c r="U46" s="32">
        <f>IF(J46="E",H46+I46/60,-H46-I46/60)</f>
        <v>1.4666666666666668</v>
      </c>
      <c r="V46" s="32">
        <f>IF(J48="E",H48+I48/60,-H48-I48/60)</f>
        <v>1.7833333333333332</v>
      </c>
      <c r="W46" s="32">
        <f>V46-U46</f>
        <v>0.31666666666666643</v>
      </c>
      <c r="X46" s="32">
        <f>IF((W46*60)&gt;10800,-21600+W46*60,IF((W46*60)&lt;-10800,21600+W46*60,W46*60))</f>
        <v>18.999999999999986</v>
      </c>
      <c r="Y46" s="32">
        <f>LOG(POWER((1-0.082490633*SIN(RADIANS(R46)))/(1+0.082490633*SIN(RADIANS(R46))),(0.082490633/2))*TAN(RADIANS((45+R46/2))))*7915.70447</f>
        <v>3562.5024894391181</v>
      </c>
      <c r="Z46" s="32">
        <f>LOG(POWER((1-0.082490633*SIN(RADIANS(Q46)))/(1+0.082490633*SIN(RADIANS(Q46))),(0.082490633/2))*TAN(RADIANS((45+Q46/2))))*7915.70447</f>
        <v>3541.1029743386998</v>
      </c>
      <c r="AA46" s="32">
        <f>Y46-Z46</f>
        <v>21.399515100418284</v>
      </c>
      <c r="AB46" s="32">
        <f>ABS(DEGREES(ATAN(X46/AA46)))</f>
        <v>41.600930412015089</v>
      </c>
      <c r="AC46" s="32">
        <f>IF(S46&gt;0,IF(X46&gt;0,AB46,360-AB46),IF(X46&gt;0,180-AB46,180+AB46))</f>
        <v>41.600930412015089</v>
      </c>
      <c r="AD46" s="32">
        <f>ABS(T46/COS(RADIANS(AC46)))</f>
        <v>18.053261718040822</v>
      </c>
      <c r="AE46" s="33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</row>
    <row r="47" spans="2:46" ht="15">
      <c r="B47" s="11"/>
      <c r="C47" s="29"/>
      <c r="D47" s="224"/>
      <c r="E47" s="254"/>
      <c r="F47" s="278"/>
      <c r="G47" s="235"/>
      <c r="H47" s="271"/>
      <c r="I47" s="299"/>
      <c r="J47" s="235"/>
      <c r="K47" s="231"/>
      <c r="L47" s="274">
        <f>IF(D48="","",AC46)</f>
        <v>41.600930412015089</v>
      </c>
      <c r="M47" s="227">
        <f>IF(D48="","",AD46)</f>
        <v>18.053261718040822</v>
      </c>
      <c r="N47" s="227"/>
      <c r="O47" s="228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3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</row>
    <row r="48" spans="2:46" ht="15">
      <c r="B48" s="11"/>
      <c r="C48" s="29"/>
      <c r="D48" s="224">
        <f>IF(E48="","",D46+1)</f>
        <v>22</v>
      </c>
      <c r="E48" s="253">
        <v>51</v>
      </c>
      <c r="F48" s="285">
        <v>7.5</v>
      </c>
      <c r="G48" s="226" t="s">
        <v>9</v>
      </c>
      <c r="H48" s="268">
        <v>1</v>
      </c>
      <c r="I48" s="296">
        <v>47</v>
      </c>
      <c r="J48" s="226" t="s">
        <v>76</v>
      </c>
      <c r="K48" s="226" t="s">
        <v>321</v>
      </c>
      <c r="L48" s="274"/>
      <c r="M48" s="227"/>
      <c r="N48" s="227">
        <f>IF(D48="","",N46+M47)</f>
        <v>3968.5659521945749</v>
      </c>
      <c r="O48" s="228">
        <f>IF(D48="","",SUM(M49:M103))</f>
        <v>4077.3564622299409</v>
      </c>
      <c r="P48" s="32"/>
      <c r="Q48" s="32">
        <f>IF(G48="N",E48+F48/60,-E48-F48/60)</f>
        <v>51.125</v>
      </c>
      <c r="R48" s="32">
        <f>IF(IF(G50="N",E50+F50/60,-E50-F50/60)=Q48,IF(G50="N",E50+F50/60,-E50-F50/60)+0.000000001,IF(G50="N",E50+F50/60,-E50-F50/60))</f>
        <v>51.341666666666669</v>
      </c>
      <c r="S48" s="32">
        <f>R48-Q48</f>
        <v>0.21666666666666856</v>
      </c>
      <c r="T48" s="32">
        <f>S48*60</f>
        <v>13.000000000000114</v>
      </c>
      <c r="U48" s="32">
        <f>IF(J48="E",H48+I48/60,-H48-I48/60)</f>
        <v>1.7833333333333332</v>
      </c>
      <c r="V48" s="32">
        <f>IF(J50="E",H50+I50/60,-H50-I50/60)</f>
        <v>2.4083333333333332</v>
      </c>
      <c r="W48" s="32">
        <f>V48-U48</f>
        <v>0.625</v>
      </c>
      <c r="X48" s="32">
        <f>IF((W48*60)&gt;10800,-21600+W48*60,IF((W48*60)&lt;-10800,21600+W48*60,W48*60))</f>
        <v>37.5</v>
      </c>
      <c r="Y48" s="32">
        <f>LOG(POWER((1-0.082490633*SIN(RADIANS(R48)))/(1+0.082490633*SIN(RADIANS(R48))),(0.082490633/2))*TAN(RADIANS((45+R48/2))))*7915.70447</f>
        <v>3583.2087083224833</v>
      </c>
      <c r="Z48" s="32">
        <f>LOG(POWER((1-0.082490633*SIN(RADIANS(Q48)))/(1+0.082490633*SIN(RADIANS(Q48))),(0.082490633/2))*TAN(RADIANS((45+Q48/2))))*7915.70447</f>
        <v>3562.5024894391181</v>
      </c>
      <c r="AA48" s="32">
        <f>Y48-Z48</f>
        <v>20.706218883365182</v>
      </c>
      <c r="AB48" s="32">
        <f>ABS(DEGREES(ATAN(X48/AA48)))</f>
        <v>61.094020220830231</v>
      </c>
      <c r="AC48" s="32">
        <f>IF(S48&gt;0,IF(X48&gt;0,AB48,360-AB48),IF(X48&gt;0,180-AB48,180+AB48))</f>
        <v>61.094020220830231</v>
      </c>
      <c r="AD48" s="32">
        <f>ABS(T48/COS(RADIANS(AC48)))</f>
        <v>26.89430279927948</v>
      </c>
      <c r="AE48" s="33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</row>
    <row r="49" spans="2:46" ht="15">
      <c r="B49" s="11"/>
      <c r="C49" s="29"/>
      <c r="D49" s="224"/>
      <c r="E49" s="254"/>
      <c r="F49" s="278"/>
      <c r="G49" s="235"/>
      <c r="H49" s="271"/>
      <c r="I49" s="299"/>
      <c r="J49" s="235"/>
      <c r="K49" s="231"/>
      <c r="L49" s="274">
        <f>IF(D50="","",AC48)</f>
        <v>61.094020220830231</v>
      </c>
      <c r="M49" s="227">
        <f>IF(D50="","",AD48)</f>
        <v>26.89430279927948</v>
      </c>
      <c r="N49" s="227"/>
      <c r="O49" s="228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3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</row>
    <row r="50" spans="2:46" ht="15">
      <c r="B50" s="11"/>
      <c r="C50" s="29"/>
      <c r="D50" s="224">
        <f>IF(E50="","",D48+1)</f>
        <v>23</v>
      </c>
      <c r="E50" s="253">
        <v>51</v>
      </c>
      <c r="F50" s="285">
        <v>20.5</v>
      </c>
      <c r="G50" s="226" t="s">
        <v>9</v>
      </c>
      <c r="H50" s="268">
        <v>2</v>
      </c>
      <c r="I50" s="296">
        <v>24.5</v>
      </c>
      <c r="J50" s="226" t="s">
        <v>76</v>
      </c>
      <c r="K50" s="226" t="s">
        <v>322</v>
      </c>
      <c r="L50" s="274"/>
      <c r="M50" s="227"/>
      <c r="N50" s="227">
        <f>IF(D50="","",N48+M49)</f>
        <v>3995.4602549938545</v>
      </c>
      <c r="O50" s="228">
        <f>IF(D50="","",SUM(M51:M104))</f>
        <v>4050.4621594306614</v>
      </c>
      <c r="P50" s="32"/>
      <c r="Q50" s="32">
        <f>IF(G50="N",E50+F50/60,-E50-F50/60)</f>
        <v>51.341666666666669</v>
      </c>
      <c r="R50" s="32">
        <f>IF(IF(G52="N",E52+F52/60,-E52-F52/60)=Q50,IF(G52="N",E52+F52/60,-E52-F52/60)+0.000000001,IF(G52="N",E52+F52/60,-E52-F52/60))</f>
        <v>51.365000000000002</v>
      </c>
      <c r="S50" s="32">
        <f>R50-Q50</f>
        <v>2.3333333333333428E-2</v>
      </c>
      <c r="T50" s="32">
        <f>S50*60</f>
        <v>1.4000000000000057</v>
      </c>
      <c r="U50" s="32">
        <f>IF(J50="E",H50+I50/60,-H50-I50/60)</f>
        <v>2.4083333333333332</v>
      </c>
      <c r="V50" s="32">
        <f>IF(J52="E",H52+I52/60,-H52-I52/60)</f>
        <v>2.5</v>
      </c>
      <c r="W50" s="32">
        <f>V50-U50</f>
        <v>9.1666666666666785E-2</v>
      </c>
      <c r="X50" s="32">
        <f>IF((W50*60)&gt;10800,-21600+W50*60,IF((W50*60)&lt;-10800,21600+W50*60,W50*60))</f>
        <v>5.5000000000000071</v>
      </c>
      <c r="Y50" s="32">
        <f>LOG(POWER((1-0.082490633*SIN(RADIANS(R50)))/(1+0.082490633*SIN(RADIANS(R50))),(0.082490633/2))*TAN(RADIANS((45+R50/2))))*7915.70447</f>
        <v>3585.4444703433919</v>
      </c>
      <c r="Z50" s="32">
        <f>LOG(POWER((1-0.082490633*SIN(RADIANS(Q50)))/(1+0.082490633*SIN(RADIANS(Q50))),(0.082490633/2))*TAN(RADIANS((45+Q50/2))))*7915.70447</f>
        <v>3583.2087083224833</v>
      </c>
      <c r="AA50" s="32">
        <f>Y50-Z50</f>
        <v>2.2357620209086235</v>
      </c>
      <c r="AB50" s="32">
        <f>ABS(DEGREES(ATAN(X50/AA50)))</f>
        <v>67.878150440361836</v>
      </c>
      <c r="AC50" s="32">
        <f>IF(S50&gt;0,IF(X50&gt;0,AB50,360-AB50),IF(X50&gt;0,180-AB50,180+AB50))</f>
        <v>67.878150440361836</v>
      </c>
      <c r="AD50" s="32">
        <f>ABS(T50/COS(RADIANS(AC50)))</f>
        <v>3.7176935965366944</v>
      </c>
      <c r="AE50" s="33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</row>
    <row r="51" spans="2:46" ht="15">
      <c r="B51" s="11"/>
      <c r="C51" s="29"/>
      <c r="D51" s="224"/>
      <c r="E51" s="254"/>
      <c r="F51" s="278"/>
      <c r="G51" s="235"/>
      <c r="H51" s="271"/>
      <c r="I51" s="299"/>
      <c r="J51" s="235"/>
      <c r="K51" s="231"/>
      <c r="L51" s="274">
        <f>IF(D52="","",AC50)</f>
        <v>67.878150440361836</v>
      </c>
      <c r="M51" s="227">
        <f>IF(D52="","",AD50)</f>
        <v>3.7176935965366944</v>
      </c>
      <c r="N51" s="227"/>
      <c r="O51" s="228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3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</row>
    <row r="52" spans="2:46" ht="15">
      <c r="B52" s="11"/>
      <c r="C52" s="29"/>
      <c r="D52" s="224">
        <f>IF(E52="","",D50+1)</f>
        <v>24</v>
      </c>
      <c r="E52" s="253">
        <v>51</v>
      </c>
      <c r="F52" s="285">
        <v>21.9</v>
      </c>
      <c r="G52" s="226" t="s">
        <v>9</v>
      </c>
      <c r="H52" s="268">
        <v>2</v>
      </c>
      <c r="I52" s="296">
        <v>30</v>
      </c>
      <c r="J52" s="226" t="s">
        <v>76</v>
      </c>
      <c r="K52" s="226" t="s">
        <v>328</v>
      </c>
      <c r="L52" s="274"/>
      <c r="M52" s="227"/>
      <c r="N52" s="227">
        <f>IF(D52="","",N50+M51)</f>
        <v>3999.1779485903912</v>
      </c>
      <c r="O52" s="228">
        <f>IF(D52="","",SUM(M53:M105))</f>
        <v>4046.7444658341246</v>
      </c>
      <c r="P52" s="32"/>
      <c r="Q52" s="32">
        <f>IF(G52="N",E52+F52/60,-E52-F52/60)</f>
        <v>51.365000000000002</v>
      </c>
      <c r="R52" s="32">
        <f>IF(IF(G54="N",E54+F54/60,-E54-F54/60)=Q52,IF(G54="N",E54+F54/60,-E54-F54/60)+0.000000001,IF(G54="N",E54+F54/60,-E54-F54/60))</f>
        <v>51.363333333333337</v>
      </c>
      <c r="S52" s="32">
        <f>R52-Q52</f>
        <v>-1.6666666666651508E-3</v>
      </c>
      <c r="T52" s="32">
        <f>S52*60</f>
        <v>-9.9999999999909051E-2</v>
      </c>
      <c r="U52" s="32">
        <f>IF(J52="E",H52+I52/60,-H52-I52/60)</f>
        <v>2.5</v>
      </c>
      <c r="V52" s="32">
        <f>IF(J54="E",H54+I54/60,-H54-I54/60)</f>
        <v>2.7149999999999999</v>
      </c>
      <c r="W52" s="32">
        <f>V52-U52</f>
        <v>0.21499999999999986</v>
      </c>
      <c r="X52" s="32">
        <f>IF((W52*60)&gt;10800,-21600+W52*60,IF((W52*60)&lt;-10800,21600+W52*60,W52*60))</f>
        <v>12.899999999999991</v>
      </c>
      <c r="Y52" s="32">
        <f>LOG(POWER((1-0.082490633*SIN(RADIANS(R52)))/(1+0.082490633*SIN(RADIANS(R52))),(0.082490633/2))*TAN(RADIANS((45+R52/2))))*7915.70447</f>
        <v>3585.2847350859593</v>
      </c>
      <c r="Z52" s="32">
        <f>LOG(POWER((1-0.082490633*SIN(RADIANS(Q52)))/(1+0.082490633*SIN(RADIANS(Q52))),(0.082490633/2))*TAN(RADIANS((45+Q52/2))))*7915.70447</f>
        <v>3585.4444703433919</v>
      </c>
      <c r="AA52" s="32">
        <f>Y52-Z52</f>
        <v>-0.15973525743265782</v>
      </c>
      <c r="AB52" s="32">
        <f>ABS(DEGREES(ATAN(X52/AA52)))</f>
        <v>89.290566792866244</v>
      </c>
      <c r="AC52" s="32">
        <f>IF(S52&gt;0,IF(X52&gt;0,AB52,360-AB52),IF(X52&gt;0,180-AB52,180+AB52))</f>
        <v>90.709433207133756</v>
      </c>
      <c r="AD52" s="32">
        <f>ABS(T52/COS(RADIANS(AC52)))</f>
        <v>8.0764817589948468</v>
      </c>
      <c r="AE52" s="33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</row>
    <row r="53" spans="2:46" ht="15">
      <c r="B53" s="11"/>
      <c r="C53" s="29"/>
      <c r="D53" s="224"/>
      <c r="E53" s="254"/>
      <c r="F53" s="278"/>
      <c r="G53" s="235"/>
      <c r="H53" s="271"/>
      <c r="I53" s="299"/>
      <c r="J53" s="235"/>
      <c r="K53" s="231"/>
      <c r="L53" s="274">
        <f>IF(D54="","",AC52)</f>
        <v>90.709433207133756</v>
      </c>
      <c r="M53" s="227">
        <f>IF(D54="","",AD52)</f>
        <v>8.0764817589948468</v>
      </c>
      <c r="N53" s="227"/>
      <c r="O53" s="228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3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</row>
    <row r="54" spans="2:46" ht="15">
      <c r="B54" s="11"/>
      <c r="C54" s="29"/>
      <c r="D54" s="224">
        <f>IF(E54="","",D52+1)</f>
        <v>25</v>
      </c>
      <c r="E54" s="253">
        <v>51</v>
      </c>
      <c r="F54" s="285">
        <v>21.8</v>
      </c>
      <c r="G54" s="226" t="s">
        <v>9</v>
      </c>
      <c r="H54" s="268">
        <v>2</v>
      </c>
      <c r="I54" s="296">
        <v>42.9</v>
      </c>
      <c r="J54" s="226" t="s">
        <v>76</v>
      </c>
      <c r="K54" s="226" t="s">
        <v>323</v>
      </c>
      <c r="L54" s="274"/>
      <c r="M54" s="227"/>
      <c r="N54" s="227">
        <f>IF(D54="","",N52+M53)</f>
        <v>4007.254430349386</v>
      </c>
      <c r="O54" s="228">
        <f>IF(D54="","",SUM(M55:M106))</f>
        <v>4038.6679840751299</v>
      </c>
      <c r="P54" s="32"/>
      <c r="Q54" s="32">
        <f>IF(G54="N",E54+F54/60,-E54-F54/60)</f>
        <v>51.363333333333337</v>
      </c>
      <c r="R54" s="32">
        <f>IF(IF(G56="N",E56+F56/60,-E56-F56/60)=Q54,IF(G56="N",E56+F56/60,-E56-F56/60)+0.000000001,IF(G56="N",E56+F56/60,-E56-F56/60))</f>
        <v>10.375</v>
      </c>
      <c r="S54" s="32">
        <f>R54-Q54</f>
        <v>-40.988333333333337</v>
      </c>
      <c r="T54" s="32">
        <f>S54*60</f>
        <v>-2459.3000000000002</v>
      </c>
      <c r="U54" s="32">
        <f>IF(J54="E",H54+I54/60,-H54-I54/60)</f>
        <v>2.7149999999999999</v>
      </c>
      <c r="V54" s="32">
        <f>IF(J56="E",H56+I56/60,-H56-I56/60)</f>
        <v>-61.57</v>
      </c>
      <c r="W54" s="32">
        <f>V54-U54</f>
        <v>-64.284999999999997</v>
      </c>
      <c r="X54" s="32">
        <f>IF((W54*60)&gt;10800,-21600+W54*60,IF((W54*60)&lt;-10800,21600+W54*60,W54*60))</f>
        <v>-3857.1</v>
      </c>
      <c r="Y54" s="32">
        <f>LOG(POWER((1-0.082490633*SIN(RADIANS(R54)))/(1+0.082490633*SIN(RADIANS(R54))),(0.082490633/2))*TAN(RADIANS((45+R54/2))))*7915.70447</f>
        <v>621.71690761123386</v>
      </c>
      <c r="Z54" s="32">
        <f>LOG(POWER((1-0.082490633*SIN(RADIANS(Q54)))/(1+0.082490633*SIN(RADIANS(Q54))),(0.082490633/2))*TAN(RADIANS((45+Q54/2))))*7915.70447</f>
        <v>3585.2847350859593</v>
      </c>
      <c r="AA54" s="32">
        <f>Y54-Z54</f>
        <v>-2963.5678274747252</v>
      </c>
      <c r="AB54" s="32">
        <f>ABS(DEGREES(ATAN(X54/AA54)))</f>
        <v>52.463452362270218</v>
      </c>
      <c r="AC54" s="32">
        <f>IF(S54&gt;0,IF(X54&gt;0,AB54,360-AB54),IF(X54&gt;0,180-AB54,180+AB54))</f>
        <v>232.46345236227023</v>
      </c>
      <c r="AD54" s="32">
        <f>ABS(T54/COS(RADIANS(AC54)))</f>
        <v>4036.4873199326676</v>
      </c>
      <c r="AE54" s="33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</row>
    <row r="55" spans="2:46" ht="15">
      <c r="B55" s="11"/>
      <c r="C55" s="29"/>
      <c r="D55" s="224"/>
      <c r="E55" s="256"/>
      <c r="F55" s="283"/>
      <c r="G55" s="231"/>
      <c r="H55" s="266"/>
      <c r="I55" s="295"/>
      <c r="J55" s="231"/>
      <c r="K55" s="231"/>
      <c r="L55" s="274">
        <f>IF(D56="","",AC54)</f>
        <v>232.46345236227023</v>
      </c>
      <c r="M55" s="227">
        <f>IF(D56="","",AD54)</f>
        <v>4036.4873199326676</v>
      </c>
      <c r="N55" s="227"/>
      <c r="O55" s="228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3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</row>
    <row r="56" spans="2:46" ht="15">
      <c r="B56" s="11"/>
      <c r="C56" s="29"/>
      <c r="D56" s="224">
        <f>IF(E56="","",D54+1)</f>
        <v>26</v>
      </c>
      <c r="E56" s="257">
        <v>10</v>
      </c>
      <c r="F56" s="284">
        <v>22.5</v>
      </c>
      <c r="G56" s="233" t="s">
        <v>9</v>
      </c>
      <c r="H56" s="267">
        <v>61</v>
      </c>
      <c r="I56" s="285">
        <v>34.200000000000003</v>
      </c>
      <c r="J56" s="226" t="s">
        <v>11</v>
      </c>
      <c r="K56" s="226"/>
      <c r="L56" s="274"/>
      <c r="M56" s="227"/>
      <c r="N56" s="227">
        <f>IF(D56="","",N54+M55)</f>
        <v>8043.7417502820535</v>
      </c>
      <c r="O56" s="228">
        <f>IF(D56="","",SUM(M57:M107))</f>
        <v>2.1806641424623296</v>
      </c>
      <c r="P56" s="32"/>
      <c r="Q56" s="32">
        <f>IF(G56="N",E56+F56/60,-E56-F56/60)</f>
        <v>10.375</v>
      </c>
      <c r="R56" s="32">
        <f>IF(IF(G58="N",E58+F58/60,-E58-F58/60)=Q56,IF(G58="N",E58+F58/60,-E58-F58/60)+0.000000001,IF(G58="N",E58+F58/60,-E58-F58/60))</f>
        <v>10.376666666666667</v>
      </c>
      <c r="S56" s="32">
        <f>R56-Q56</f>
        <v>1.6666666666669272E-3</v>
      </c>
      <c r="T56" s="32">
        <f>S56*60</f>
        <v>0.10000000000001563</v>
      </c>
      <c r="U56" s="32">
        <f>IF(J56="E",H56+I56/60,-H56-I56/60)</f>
        <v>-61.57</v>
      </c>
      <c r="V56" s="32">
        <f>IF(J58="E",H58+I58/60,-H58-I58/60)</f>
        <v>-61.533333333333331</v>
      </c>
      <c r="W56" s="32">
        <f>V56-U56</f>
        <v>3.6666666666668846E-2</v>
      </c>
      <c r="X56" s="32">
        <f>IF((W56*60)&gt;10800,-21600+W56*60,IF((W56*60)&lt;-10800,21600+W56*60,W56*60))</f>
        <v>2.2000000000001307</v>
      </c>
      <c r="Y56" s="32">
        <f>LOG(POWER((1-0.082490633*SIN(RADIANS(R56)))/(1+0.082490633*SIN(RADIANS(R56))),(0.082490633/2))*TAN(RADIANS((45+R56/2))))*7915.70447</f>
        <v>621.817900552889</v>
      </c>
      <c r="Z56" s="32">
        <f>LOG(POWER((1-0.082490633*SIN(RADIANS(Q56)))/(1+0.082490633*SIN(RADIANS(Q56))),(0.082490633/2))*TAN(RADIANS((45+Q56/2))))*7915.70447</f>
        <v>621.71690761123386</v>
      </c>
      <c r="AA56" s="32">
        <f>Y56-Z56</f>
        <v>0.10099294165513584</v>
      </c>
      <c r="AB56" s="32">
        <f>ABS(DEGREES(ATAN(X56/AA56)))</f>
        <v>87.371631934680238</v>
      </c>
      <c r="AC56" s="32">
        <f>IF(S56&gt;0,IF(X56&gt;0,AB56,360-AB56),IF(X56&gt;0,180-AB56,180+AB56))</f>
        <v>87.371631934680238</v>
      </c>
      <c r="AD56" s="32">
        <f>ABS(T56/COS(RADIANS(AC56)))</f>
        <v>2.1806641424623296</v>
      </c>
      <c r="AE56" s="33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</row>
    <row r="57" spans="2:46" ht="15">
      <c r="B57" s="11"/>
      <c r="C57" s="29"/>
      <c r="D57" s="224"/>
      <c r="E57" s="256"/>
      <c r="F57" s="283"/>
      <c r="G57" s="231"/>
      <c r="H57" s="266"/>
      <c r="I57" s="295"/>
      <c r="J57" s="231"/>
      <c r="K57" s="231"/>
      <c r="L57" s="274">
        <f>IF(D58="","",AC56)</f>
        <v>87.371631934680238</v>
      </c>
      <c r="M57" s="227">
        <f>IF(D58="","",AD56)</f>
        <v>2.1806641424623296</v>
      </c>
      <c r="N57" s="227"/>
      <c r="O57" s="228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3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</row>
    <row r="58" spans="2:46" ht="15">
      <c r="B58" s="11"/>
      <c r="C58" s="29"/>
      <c r="D58" s="224">
        <f>IF(E58="","",D56+1)</f>
        <v>27</v>
      </c>
      <c r="E58" s="257">
        <v>10</v>
      </c>
      <c r="F58" s="284">
        <v>22.6</v>
      </c>
      <c r="G58" s="226" t="s">
        <v>9</v>
      </c>
      <c r="H58" s="267">
        <v>61</v>
      </c>
      <c r="I58" s="285">
        <v>32</v>
      </c>
      <c r="J58" s="226" t="s">
        <v>11</v>
      </c>
      <c r="K58" s="305"/>
      <c r="L58" s="274"/>
      <c r="M58" s="227"/>
      <c r="N58" s="227">
        <f>IF(D58="","",N56+M57)</f>
        <v>8045.9224144245163</v>
      </c>
      <c r="O58" s="228">
        <f>IF(D58="","",SUM(M59:M108))</f>
        <v>0</v>
      </c>
      <c r="P58" s="32"/>
      <c r="Q58" s="32">
        <f>IF(G58="N",E58+F58/60,-E58-F58/60)</f>
        <v>10.376666666666667</v>
      </c>
      <c r="R58" s="32">
        <f>IF(IF(G60="N",E60+F60/60,-E60-F60/60)=Q58,IF(G60="N",E60+F60/60,-E60-F60/60)+0.000000001,IF(G60="N",E60+F60/60,-E60-F60/60))</f>
        <v>0</v>
      </c>
      <c r="S58" s="32">
        <f>R58-Q58</f>
        <v>-10.376666666666667</v>
      </c>
      <c r="T58" s="32">
        <f>S58*60</f>
        <v>-622.6</v>
      </c>
      <c r="U58" s="32">
        <f>IF(J58="E",H58+I58/60,-H58-I58/60)</f>
        <v>-61.533333333333331</v>
      </c>
      <c r="V58" s="32">
        <f>IF(J60="E",H60+I60/60,-H60-I60/60)</f>
        <v>0</v>
      </c>
      <c r="W58" s="32">
        <f>V58-U58</f>
        <v>61.533333333333331</v>
      </c>
      <c r="X58" s="32">
        <f>IF((W58*60)&gt;10800,-21600+W58*60,IF((W58*60)&lt;-10800,21600+W58*60,W58*60))</f>
        <v>3692</v>
      </c>
      <c r="Y58" s="32">
        <f>LOG(POWER((1-0.082490633*SIN(RADIANS(R58)))/(1+0.082490633*SIN(RADIANS(R58))),(0.082490633/2))*TAN(RADIANS((45+R58/2))))*7915.70447</f>
        <v>-3.8166656187698155E-13</v>
      </c>
      <c r="Z58" s="32">
        <f>LOG(POWER((1-0.082490633*SIN(RADIANS(Q58)))/(1+0.082490633*SIN(RADIANS(Q58))),(0.082490633/2))*TAN(RADIANS((45+Q58/2))))*7915.70447</f>
        <v>621.817900552889</v>
      </c>
      <c r="AA58" s="32">
        <f>Y58-Z58</f>
        <v>-621.81790055288934</v>
      </c>
      <c r="AB58" s="32">
        <f>ABS(DEGREES(ATAN(X58/AA58)))</f>
        <v>80.439792235727282</v>
      </c>
      <c r="AC58" s="32">
        <f>IF(S58&gt;0,IF(X58&gt;0,AB58,360-AB58),IF(X58&gt;0,180-AB58,180+AB58))</f>
        <v>99.560207764272718</v>
      </c>
      <c r="AD58" s="32">
        <f>ABS(T58/COS(RADIANS(AC58)))</f>
        <v>3748.7071253901454</v>
      </c>
      <c r="AE58" s="33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</row>
    <row r="59" spans="2:46" ht="15">
      <c r="B59" s="11"/>
      <c r="C59" s="29"/>
      <c r="D59" s="224"/>
      <c r="E59" s="256"/>
      <c r="F59" s="283"/>
      <c r="G59" s="231"/>
      <c r="H59" s="266"/>
      <c r="I59" s="295"/>
      <c r="J59" s="231"/>
      <c r="K59" s="231"/>
      <c r="L59" s="274" t="str">
        <f>IF(D60="","",AC58)</f>
        <v/>
      </c>
      <c r="M59" s="227" t="str">
        <f>IF(D60="","",AD58)</f>
        <v/>
      </c>
      <c r="N59" s="227"/>
      <c r="O59" s="228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3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</row>
    <row r="60" spans="2:46" ht="15">
      <c r="B60" s="11"/>
      <c r="C60" s="29"/>
      <c r="D60" s="224" t="str">
        <f>IF(E60="","",D58+1)</f>
        <v/>
      </c>
      <c r="E60" s="257"/>
      <c r="F60" s="284"/>
      <c r="G60" s="226"/>
      <c r="H60" s="267"/>
      <c r="I60" s="285"/>
      <c r="J60" s="226"/>
      <c r="K60" s="305"/>
      <c r="L60" s="274"/>
      <c r="M60" s="227"/>
      <c r="N60" s="227" t="str">
        <f>IF(D60="","",N58+M59)</f>
        <v/>
      </c>
      <c r="O60" s="228" t="str">
        <f>IF(D60="","",SUM(M61:M109))</f>
        <v/>
      </c>
      <c r="P60" s="32"/>
      <c r="Q60" s="32">
        <f>IF(G60="N",E60+F60/60,-E60-F60/60)</f>
        <v>0</v>
      </c>
      <c r="R60" s="32">
        <f>IF(IF(G62="N",E62+F62/60,-E62-F62/60)=Q60,IF(G62="N",E62+F62/60,-E62-F62/60)+0.000000001,IF(G62="N",E62+F62/60,-E62-F62/60))</f>
        <v>1.0000000000000001E-9</v>
      </c>
      <c r="S60" s="32">
        <f>R60-Q60</f>
        <v>1.0000000000000001E-9</v>
      </c>
      <c r="T60" s="32">
        <f>S60*60</f>
        <v>6.0000000000000008E-8</v>
      </c>
      <c r="U60" s="32">
        <f>IF(J60="E",H60+I60/60,-H60-I60/60)</f>
        <v>0</v>
      </c>
      <c r="V60" s="32">
        <f>IF(J62="E",H62+I62/60,-H62-I62/60)</f>
        <v>0</v>
      </c>
      <c r="W60" s="32">
        <f>V60-U60</f>
        <v>0</v>
      </c>
      <c r="X60" s="32">
        <f>IF((W60*60)&gt;10800,-21600+W60*60,IF((W60*60)&lt;-10800,21600+W60*60,W60*60))</f>
        <v>0</v>
      </c>
      <c r="Y60" s="32">
        <f>LOG(POWER((1-0.082490633*SIN(RADIANS(R60)))/(1+0.082490633*SIN(RADIANS(R60))),(0.082490633/2))*TAN(RADIANS((45+R60/2))))*7915.70447</f>
        <v>5.9591890304707887E-8</v>
      </c>
      <c r="Z60" s="32">
        <f>LOG(POWER((1-0.082490633*SIN(RADIANS(Q60)))/(1+0.082490633*SIN(RADIANS(Q60))),(0.082490633/2))*TAN(RADIANS((45+Q60/2))))*7915.70447</f>
        <v>-3.8166656187698155E-13</v>
      </c>
      <c r="AA60" s="32">
        <f>Y60-Z60</f>
        <v>5.9592271971269763E-8</v>
      </c>
      <c r="AB60" s="32">
        <f>ABS(DEGREES(ATAN(X60/AA60)))</f>
        <v>0</v>
      </c>
      <c r="AC60" s="32">
        <f>IF(S60&gt;0,IF(X60&gt;0,AB60,360-AB60),IF(X60&gt;0,180-AB60,180+AB60))</f>
        <v>360</v>
      </c>
      <c r="AD60" s="32">
        <f>ABS(T60/COS(RADIANS(AC60)))</f>
        <v>6.0000000000000008E-8</v>
      </c>
      <c r="AE60" s="33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</row>
    <row r="61" spans="2:46" ht="15">
      <c r="B61" s="11"/>
      <c r="C61" s="29"/>
      <c r="D61" s="224"/>
      <c r="E61" s="256"/>
      <c r="F61" s="283"/>
      <c r="G61" s="231"/>
      <c r="H61" s="266"/>
      <c r="I61" s="295"/>
      <c r="J61" s="231"/>
      <c r="K61" s="231"/>
      <c r="L61" s="274" t="str">
        <f>IF(D62="","",AC60)</f>
        <v/>
      </c>
      <c r="M61" s="227" t="str">
        <f>IF(D62="","",AD60)</f>
        <v/>
      </c>
      <c r="N61" s="227"/>
      <c r="O61" s="228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3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</row>
    <row r="62" spans="2:46" ht="15">
      <c r="B62" s="11"/>
      <c r="C62" s="29"/>
      <c r="D62" s="224" t="str">
        <f>IF(E62="","",D60+1)</f>
        <v/>
      </c>
      <c r="E62" s="257"/>
      <c r="F62" s="284"/>
      <c r="G62" s="233"/>
      <c r="H62" s="267"/>
      <c r="I62" s="285"/>
      <c r="J62" s="226"/>
      <c r="K62" s="226"/>
      <c r="L62" s="274"/>
      <c r="M62" s="227"/>
      <c r="N62" s="227" t="str">
        <f>IF(D62="","",N60+M61)</f>
        <v/>
      </c>
      <c r="O62" s="228" t="str">
        <f>IF(D62="","",SUM(M63:M110))</f>
        <v/>
      </c>
      <c r="P62" s="32"/>
      <c r="Q62" s="32">
        <f>IF(G62="N",E62+F62/60,-E62-F62/60)</f>
        <v>0</v>
      </c>
      <c r="R62" s="32">
        <f>IF(IF(G64="N",E64+F64/60,-E64-F64/60)=Q62,IF(G64="N",E64+F64/60,-E64-F64/60)+0.000000001,IF(G64="N",E64+F64/60,-E64-F64/60))</f>
        <v>1.0000000000000001E-9</v>
      </c>
      <c r="S62" s="32">
        <f>R62-Q62</f>
        <v>1.0000000000000001E-9</v>
      </c>
      <c r="T62" s="32">
        <f>S62*60</f>
        <v>6.0000000000000008E-8</v>
      </c>
      <c r="U62" s="32">
        <f>IF(J62="E",H62+I62/60,-H62-I62/60)</f>
        <v>0</v>
      </c>
      <c r="V62" s="32">
        <f>IF(J64="E",H64+I64/60,-H64-I64/60)</f>
        <v>0</v>
      </c>
      <c r="W62" s="32">
        <f>V62-U62</f>
        <v>0</v>
      </c>
      <c r="X62" s="32">
        <f>IF((W62*60)&gt;10800,-21600+W62*60,IF((W62*60)&lt;-10800,21600+W62*60,W62*60))</f>
        <v>0</v>
      </c>
      <c r="Y62" s="32">
        <f>LOG(POWER((1-0.082490633*SIN(RADIANS(R62)))/(1+0.082490633*SIN(RADIANS(R62))),(0.082490633/2))*TAN(RADIANS((45+R62/2))))*7915.70447</f>
        <v>5.9591890304707887E-8</v>
      </c>
      <c r="Z62" s="32">
        <f>LOG(POWER((1-0.082490633*SIN(RADIANS(Q62)))/(1+0.082490633*SIN(RADIANS(Q62))),(0.082490633/2))*TAN(RADIANS((45+Q62/2))))*7915.70447</f>
        <v>-3.8166656187698155E-13</v>
      </c>
      <c r="AA62" s="32">
        <f>Y62-Z62</f>
        <v>5.9592271971269763E-8</v>
      </c>
      <c r="AB62" s="32">
        <f>ABS(DEGREES(ATAN(X62/AA62)))</f>
        <v>0</v>
      </c>
      <c r="AC62" s="32">
        <f>IF(S62&gt;0,IF(X62&gt;0,AB62,360-AB62),IF(X62&gt;0,180-AB62,180+AB62))</f>
        <v>360</v>
      </c>
      <c r="AD62" s="32">
        <f>ABS(T62/COS(RADIANS(AC62)))</f>
        <v>6.0000000000000008E-8</v>
      </c>
      <c r="AE62" s="33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</row>
    <row r="63" spans="2:46" ht="15">
      <c r="B63" s="11"/>
      <c r="C63" s="29"/>
      <c r="D63" s="224"/>
      <c r="E63" s="256"/>
      <c r="F63" s="283"/>
      <c r="G63" s="231"/>
      <c r="H63" s="266"/>
      <c r="I63" s="295"/>
      <c r="J63" s="231"/>
      <c r="K63" s="231"/>
      <c r="L63" s="274" t="str">
        <f>IF(D64="","",AC62)</f>
        <v/>
      </c>
      <c r="M63" s="227" t="str">
        <f>IF(D64="","",AD62)</f>
        <v/>
      </c>
      <c r="N63" s="227"/>
      <c r="O63" s="228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3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</row>
    <row r="64" spans="2:46" ht="15">
      <c r="B64" s="11"/>
      <c r="C64" s="29"/>
      <c r="D64" s="224" t="str">
        <f>IF(E64="","",D62+1)</f>
        <v/>
      </c>
      <c r="E64" s="257"/>
      <c r="F64" s="284"/>
      <c r="G64" s="233"/>
      <c r="H64" s="267"/>
      <c r="I64" s="285"/>
      <c r="J64" s="226"/>
      <c r="K64" s="226"/>
      <c r="L64" s="274"/>
      <c r="M64" s="227"/>
      <c r="N64" s="227" t="str">
        <f>IF(D64="","",N62+M63)</f>
        <v/>
      </c>
      <c r="O64" s="228" t="str">
        <f>IF(D64="","",SUM(M65:M111))</f>
        <v/>
      </c>
      <c r="P64" s="32"/>
      <c r="Q64" s="32">
        <f>IF(G64="N",E64+F64/60,-E64-F64/60)</f>
        <v>0</v>
      </c>
      <c r="R64" s="32">
        <f>IF(IF(G66="N",E66+F66/60,-E66-F66/60)=Q64,IF(G66="N",E66+F66/60,-E66-F66/60)+0.000000001,IF(G66="N",E66+F66/60,-E66-F66/60))</f>
        <v>1.0000000000000001E-9</v>
      </c>
      <c r="S64" s="32">
        <f>R64-Q64</f>
        <v>1.0000000000000001E-9</v>
      </c>
      <c r="T64" s="32">
        <f>S64*60</f>
        <v>6.0000000000000008E-8</v>
      </c>
      <c r="U64" s="32">
        <f>IF(J64="E",H64+I64/60,-H64-I64/60)</f>
        <v>0</v>
      </c>
      <c r="V64" s="32">
        <f>IF(J66="E",H66+I66/60,-H66-I66/60)</f>
        <v>0</v>
      </c>
      <c r="W64" s="32">
        <f>V64-U64</f>
        <v>0</v>
      </c>
      <c r="X64" s="32">
        <f>IF((W64*60)&gt;10800,-21600+W64*60,IF((W64*60)&lt;-10800,21600+W64*60,W64*60))</f>
        <v>0</v>
      </c>
      <c r="Y64" s="32">
        <f>LOG(POWER((1-0.082490633*SIN(RADIANS(R64)))/(1+0.082490633*SIN(RADIANS(R64))),(0.082490633/2))*TAN(RADIANS((45+R64/2))))*7915.70447</f>
        <v>5.9591890304707887E-8</v>
      </c>
      <c r="Z64" s="32">
        <f>LOG(POWER((1-0.082490633*SIN(RADIANS(Q64)))/(1+0.082490633*SIN(RADIANS(Q64))),(0.082490633/2))*TAN(RADIANS((45+Q64/2))))*7915.70447</f>
        <v>-3.8166656187698155E-13</v>
      </c>
      <c r="AA64" s="32">
        <f>Y64-Z64</f>
        <v>5.9592271971269763E-8</v>
      </c>
      <c r="AB64" s="32">
        <f>ABS(DEGREES(ATAN(X64/AA64)))</f>
        <v>0</v>
      </c>
      <c r="AC64" s="32">
        <f>IF(S64&gt;0,IF(X64&gt;0,AB64,360-AB64),IF(X64&gt;0,180-AB64,180+AB64))</f>
        <v>360</v>
      </c>
      <c r="AD64" s="32">
        <f>ABS(T64/COS(RADIANS(AC64)))</f>
        <v>6.0000000000000008E-8</v>
      </c>
      <c r="AE64" s="33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</row>
    <row r="65" spans="2:46" ht="15">
      <c r="B65" s="11"/>
      <c r="C65" s="29"/>
      <c r="D65" s="224"/>
      <c r="E65" s="256"/>
      <c r="F65" s="283"/>
      <c r="G65" s="231"/>
      <c r="H65" s="266"/>
      <c r="I65" s="295"/>
      <c r="J65" s="231"/>
      <c r="K65" s="231"/>
      <c r="L65" s="274" t="str">
        <f>IF(D66="","",AC64)</f>
        <v/>
      </c>
      <c r="M65" s="227" t="str">
        <f>IF(D66="","",AD64)</f>
        <v/>
      </c>
      <c r="N65" s="227"/>
      <c r="O65" s="228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3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</row>
    <row r="66" spans="2:46" ht="15">
      <c r="B66" s="11"/>
      <c r="C66" s="29"/>
      <c r="D66" s="224" t="str">
        <f>IF(E66="","",D64+1)</f>
        <v/>
      </c>
      <c r="E66" s="257"/>
      <c r="F66" s="284"/>
      <c r="G66" s="233"/>
      <c r="H66" s="267"/>
      <c r="I66" s="285"/>
      <c r="J66" s="226"/>
      <c r="K66" s="226"/>
      <c r="L66" s="274"/>
      <c r="M66" s="227"/>
      <c r="N66" s="227" t="str">
        <f>IF(D66="","",N64+M65)</f>
        <v/>
      </c>
      <c r="O66" s="228" t="str">
        <f>IF(D66="","",SUM(M67:M112))</f>
        <v/>
      </c>
      <c r="P66" s="32"/>
      <c r="Q66" s="32">
        <f>IF(G66="N",E66+F66/60,-E66-F66/60)</f>
        <v>0</v>
      </c>
      <c r="R66" s="32">
        <f>IF(IF(G68="N",E68+F68/60,-E68-F68/60)=Q66,IF(G68="N",E68+F68/60,-E68-F68/60)+0.000000001,IF(G68="N",E68+F68/60,-E68-F68/60))</f>
        <v>1.0000000000000001E-9</v>
      </c>
      <c r="S66" s="32">
        <f>R66-Q66</f>
        <v>1.0000000000000001E-9</v>
      </c>
      <c r="T66" s="32">
        <f>S66*60</f>
        <v>6.0000000000000008E-8</v>
      </c>
      <c r="U66" s="32">
        <f>IF(J66="E",H66+I66/60,-H66-I66/60)</f>
        <v>0</v>
      </c>
      <c r="V66" s="32">
        <f>IF(J68="E",H68+I68/60,-H68-I68/60)</f>
        <v>0</v>
      </c>
      <c r="W66" s="32">
        <f>V66-U66</f>
        <v>0</v>
      </c>
      <c r="X66" s="32">
        <f>IF((W66*60)&gt;10800,-21600+W66*60,IF((W66*60)&lt;-10800,21600+W66*60,W66*60))</f>
        <v>0</v>
      </c>
      <c r="Y66" s="32">
        <f>LOG(POWER((1-0.082490633*SIN(RADIANS(R66)))/(1+0.082490633*SIN(RADIANS(R66))),(0.082490633/2))*TAN(RADIANS((45+R66/2))))*7915.70447</f>
        <v>5.9591890304707887E-8</v>
      </c>
      <c r="Z66" s="32">
        <f>LOG(POWER((1-0.082490633*SIN(RADIANS(Q66)))/(1+0.082490633*SIN(RADIANS(Q66))),(0.082490633/2))*TAN(RADIANS((45+Q66/2))))*7915.70447</f>
        <v>-3.8166656187698155E-13</v>
      </c>
      <c r="AA66" s="32">
        <f>Y66-Z66</f>
        <v>5.9592271971269763E-8</v>
      </c>
      <c r="AB66" s="32">
        <f>ABS(DEGREES(ATAN(X66/AA66)))</f>
        <v>0</v>
      </c>
      <c r="AC66" s="32">
        <f>IF(S66&gt;0,IF(X66&gt;0,AB66,360-AB66),IF(X66&gt;0,180-AB66,180+AB66))</f>
        <v>360</v>
      </c>
      <c r="AD66" s="32">
        <f>ABS(T66/COS(RADIANS(AC66)))</f>
        <v>6.0000000000000008E-8</v>
      </c>
      <c r="AE66" s="33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</row>
    <row r="67" spans="2:46" ht="15">
      <c r="B67" s="11"/>
      <c r="C67" s="29"/>
      <c r="D67" s="224"/>
      <c r="E67" s="256"/>
      <c r="F67" s="283"/>
      <c r="G67" s="231"/>
      <c r="H67" s="266"/>
      <c r="I67" s="295"/>
      <c r="J67" s="231"/>
      <c r="K67" s="231"/>
      <c r="L67" s="274" t="str">
        <f>IF(D68="","",AC66)</f>
        <v/>
      </c>
      <c r="M67" s="227" t="str">
        <f>IF(D68="","",AD66)</f>
        <v/>
      </c>
      <c r="N67" s="227"/>
      <c r="O67" s="228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3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</row>
    <row r="68" spans="2:46" ht="15">
      <c r="B68" s="11"/>
      <c r="C68" s="29"/>
      <c r="D68" s="224" t="str">
        <f>IF(E68="","",D66+1)</f>
        <v/>
      </c>
      <c r="E68" s="257"/>
      <c r="F68" s="284"/>
      <c r="G68" s="233"/>
      <c r="H68" s="267"/>
      <c r="I68" s="285"/>
      <c r="J68" s="226"/>
      <c r="K68" s="226"/>
      <c r="L68" s="274"/>
      <c r="M68" s="227"/>
      <c r="N68" s="227" t="str">
        <f>IF(D68="","",N66+M67)</f>
        <v/>
      </c>
      <c r="O68" s="228" t="str">
        <f>IF(D68="","",SUM(M69:M113))</f>
        <v/>
      </c>
      <c r="P68" s="32"/>
      <c r="Q68" s="32">
        <f>IF(G68="N",E68+F68/60,-E68-F68/60)</f>
        <v>0</v>
      </c>
      <c r="R68" s="32">
        <f>IF(IF(G70="N",E70+F70/60,-E70-F70/60)=Q68,IF(G70="N",E70+F70/60,-E70-F70/60)+0.000000001,IF(G70="N",E70+F70/60,-E70-F70/60))</f>
        <v>1.0000000000000001E-9</v>
      </c>
      <c r="S68" s="32">
        <f>R68-Q68</f>
        <v>1.0000000000000001E-9</v>
      </c>
      <c r="T68" s="32">
        <f>S68*60</f>
        <v>6.0000000000000008E-8</v>
      </c>
      <c r="U68" s="32">
        <f>IF(J68="E",H68+I68/60,-H68-I68/60)</f>
        <v>0</v>
      </c>
      <c r="V68" s="32">
        <f>IF(J70="E",H70+I70/60,-H70-I70/60)</f>
        <v>0</v>
      </c>
      <c r="W68" s="32">
        <f>V68-U68</f>
        <v>0</v>
      </c>
      <c r="X68" s="32">
        <f>IF((W68*60)&gt;10800,-21600+W68*60,IF((W68*60)&lt;-10800,21600+W68*60,W68*60))</f>
        <v>0</v>
      </c>
      <c r="Y68" s="32">
        <f>LOG(POWER((1-0.082490633*SIN(RADIANS(R68)))/(1+0.082490633*SIN(RADIANS(R68))),(0.082490633/2))*TAN(RADIANS((45+R68/2))))*7915.70447</f>
        <v>5.9591890304707887E-8</v>
      </c>
      <c r="Z68" s="32">
        <f>LOG(POWER((1-0.082490633*SIN(RADIANS(Q68)))/(1+0.082490633*SIN(RADIANS(Q68))),(0.082490633/2))*TAN(RADIANS((45+Q68/2))))*7915.70447</f>
        <v>-3.8166656187698155E-13</v>
      </c>
      <c r="AA68" s="32">
        <f>Y68-Z68</f>
        <v>5.9592271971269763E-8</v>
      </c>
      <c r="AB68" s="32">
        <f>ABS(DEGREES(ATAN(X68/AA68)))</f>
        <v>0</v>
      </c>
      <c r="AC68" s="32">
        <f>IF(S68&gt;0,IF(X68&gt;0,AB68,360-AB68),IF(X68&gt;0,180-AB68,180+AB68))</f>
        <v>360</v>
      </c>
      <c r="AD68" s="32">
        <f>ABS(T68/COS(RADIANS(AC68)))</f>
        <v>6.0000000000000008E-8</v>
      </c>
      <c r="AE68" s="33"/>
      <c r="AF68" s="5"/>
      <c r="AG68" s="5"/>
      <c r="AH68" s="5"/>
      <c r="AI68" s="5"/>
      <c r="AJ68" s="5"/>
      <c r="AK68" s="5"/>
      <c r="AL68" s="5"/>
      <c r="AM68" s="307"/>
      <c r="AN68" s="5"/>
      <c r="AO68" s="5"/>
      <c r="AP68" s="5"/>
      <c r="AQ68" s="5"/>
      <c r="AR68" s="5"/>
      <c r="AS68" s="5"/>
      <c r="AT68" s="5"/>
    </row>
    <row r="69" spans="2:46" ht="15">
      <c r="B69" s="11"/>
      <c r="C69" s="29"/>
      <c r="D69" s="224"/>
      <c r="E69" s="256"/>
      <c r="F69" s="283"/>
      <c r="G69" s="231"/>
      <c r="H69" s="266"/>
      <c r="I69" s="295"/>
      <c r="J69" s="231"/>
      <c r="K69" s="231"/>
      <c r="L69" s="274" t="str">
        <f>IF(D70="","",AC68)</f>
        <v/>
      </c>
      <c r="M69" s="227" t="str">
        <f>IF(D70="","",AD68)</f>
        <v/>
      </c>
      <c r="N69" s="227"/>
      <c r="O69" s="228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3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</row>
    <row r="70" spans="2:46" ht="15">
      <c r="B70" s="11"/>
      <c r="C70" s="29"/>
      <c r="D70" s="224" t="str">
        <f>IF(E70="","",D68+1)</f>
        <v/>
      </c>
      <c r="E70" s="257"/>
      <c r="F70" s="284"/>
      <c r="G70" s="233"/>
      <c r="H70" s="267"/>
      <c r="I70" s="285"/>
      <c r="J70" s="226"/>
      <c r="K70" s="226"/>
      <c r="L70" s="274"/>
      <c r="M70" s="227"/>
      <c r="N70" s="227" t="str">
        <f>IF(D70="","",N68+M69)</f>
        <v/>
      </c>
      <c r="O70" s="228" t="str">
        <f>IF(D70="","",SUM(M71:M114))</f>
        <v/>
      </c>
      <c r="P70" s="32"/>
      <c r="Q70" s="32">
        <f>IF(G70="N",E70+F70/60,-E70-F70/60)</f>
        <v>0</v>
      </c>
      <c r="R70" s="32">
        <f>IF(IF(G72="N",E72+F72/60,-E72-F72/60)=Q70,IF(G72="N",E72+F72/60,-E72-F72/60)+0.000000001,IF(G72="N",E72+F72/60,-E72-F72/60))</f>
        <v>1.0000000000000001E-9</v>
      </c>
      <c r="S70" s="32">
        <f>R70-Q70</f>
        <v>1.0000000000000001E-9</v>
      </c>
      <c r="T70" s="32">
        <f>S70*60</f>
        <v>6.0000000000000008E-8</v>
      </c>
      <c r="U70" s="32">
        <f>IF(J70="E",H70+I70/60,-H70-I70/60)</f>
        <v>0</v>
      </c>
      <c r="V70" s="32">
        <f>IF(J72="E",H72+I72/60,-H72-I72/60)</f>
        <v>0</v>
      </c>
      <c r="W70" s="32">
        <f>V70-U70</f>
        <v>0</v>
      </c>
      <c r="X70" s="32">
        <f>IF((W70*60)&gt;10800,-21600+W70*60,IF((W70*60)&lt;-10800,21600+W70*60,W70*60))</f>
        <v>0</v>
      </c>
      <c r="Y70" s="32">
        <f>LOG(POWER((1-0.082490633*SIN(RADIANS(R70)))/(1+0.082490633*SIN(RADIANS(R70))),(0.082490633/2))*TAN(RADIANS((45+R70/2))))*7915.70447</f>
        <v>5.9591890304707887E-8</v>
      </c>
      <c r="Z70" s="32">
        <f>LOG(POWER((1-0.082490633*SIN(RADIANS(Q70)))/(1+0.082490633*SIN(RADIANS(Q70))),(0.082490633/2))*TAN(RADIANS((45+Q70/2))))*7915.70447</f>
        <v>-3.8166656187698155E-13</v>
      </c>
      <c r="AA70" s="32">
        <f>Y70-Z70</f>
        <v>5.9592271971269763E-8</v>
      </c>
      <c r="AB70" s="32">
        <f>ABS(DEGREES(ATAN(X70/AA70)))</f>
        <v>0</v>
      </c>
      <c r="AC70" s="32">
        <f>IF(S70&gt;0,IF(X70&gt;0,AB70,360-AB70),IF(X70&gt;0,180-AB70,180+AB70))</f>
        <v>360</v>
      </c>
      <c r="AD70" s="32">
        <f>ABS(T70/COS(RADIANS(AC70)))</f>
        <v>6.0000000000000008E-8</v>
      </c>
      <c r="AE70" s="33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</row>
    <row r="71" spans="2:46" ht="15">
      <c r="B71" s="11"/>
      <c r="C71" s="29"/>
      <c r="D71" s="224"/>
      <c r="E71" s="256"/>
      <c r="F71" s="283"/>
      <c r="G71" s="231"/>
      <c r="H71" s="266"/>
      <c r="I71" s="295"/>
      <c r="J71" s="231"/>
      <c r="K71" s="231"/>
      <c r="L71" s="274" t="str">
        <f>IF(D72="","",AC70)</f>
        <v/>
      </c>
      <c r="M71" s="227" t="str">
        <f>IF(D72="","",AD70)</f>
        <v/>
      </c>
      <c r="N71" s="227"/>
      <c r="O71" s="228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3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</row>
    <row r="72" spans="2:46" ht="15">
      <c r="B72" s="11"/>
      <c r="C72" s="29"/>
      <c r="D72" s="224" t="str">
        <f>IF(E72="","",D70+1)</f>
        <v/>
      </c>
      <c r="E72" s="257"/>
      <c r="F72" s="284"/>
      <c r="G72" s="233"/>
      <c r="H72" s="267"/>
      <c r="I72" s="285"/>
      <c r="J72" s="226"/>
      <c r="K72" s="226"/>
      <c r="L72" s="274"/>
      <c r="M72" s="227"/>
      <c r="N72" s="227" t="str">
        <f>IF(D72="","",N70+M71)</f>
        <v/>
      </c>
      <c r="O72" s="228" t="str">
        <f>IF(D72="","",SUM(M73:M115))</f>
        <v/>
      </c>
      <c r="P72" s="32"/>
      <c r="Q72" s="32">
        <f>IF(G72="N",E72+F72/60,-E72-F72/60)</f>
        <v>0</v>
      </c>
      <c r="R72" s="32">
        <f>IF(IF(G74="N",E74+F74/60,-E74-F74/60)=Q72,IF(G74="N",E74+F74/60,-E74-F74/60)+0.000000001,IF(G74="N",E74+F74/60,-E74-F74/60))</f>
        <v>1.0000000000000001E-9</v>
      </c>
      <c r="S72" s="32">
        <f>R72-Q72</f>
        <v>1.0000000000000001E-9</v>
      </c>
      <c r="T72" s="32">
        <f>S72*60</f>
        <v>6.0000000000000008E-8</v>
      </c>
      <c r="U72" s="32">
        <f>IF(J72="E",H72+I72/60,-H72-I72/60)</f>
        <v>0</v>
      </c>
      <c r="V72" s="32">
        <f>IF(J74="E",H74+I74/60,-H74-I74/60)</f>
        <v>0</v>
      </c>
      <c r="W72" s="32">
        <f>V72-U72</f>
        <v>0</v>
      </c>
      <c r="X72" s="32">
        <f>IF((W72*60)&gt;10800,-21600+W72*60,IF((W72*60)&lt;-10800,21600+W72*60,W72*60))</f>
        <v>0</v>
      </c>
      <c r="Y72" s="32">
        <f>LOG(POWER((1-0.082490633*SIN(RADIANS(R72)))/(1+0.082490633*SIN(RADIANS(R72))),(0.082490633/2))*TAN(RADIANS((45+R72/2))))*7915.70447</f>
        <v>5.9591890304707887E-8</v>
      </c>
      <c r="Z72" s="32">
        <f>LOG(POWER((1-0.082490633*SIN(RADIANS(Q72)))/(1+0.082490633*SIN(RADIANS(Q72))),(0.082490633/2))*TAN(RADIANS((45+Q72/2))))*7915.70447</f>
        <v>-3.8166656187698155E-13</v>
      </c>
      <c r="AA72" s="32">
        <f>Y72-Z72</f>
        <v>5.9592271971269763E-8</v>
      </c>
      <c r="AB72" s="32">
        <f>ABS(DEGREES(ATAN(X72/AA72)))</f>
        <v>0</v>
      </c>
      <c r="AC72" s="32">
        <f>IF(S72&gt;0,IF(X72&gt;0,AB72,360-AB72),IF(X72&gt;0,180-AB72,180+AB72))</f>
        <v>360</v>
      </c>
      <c r="AD72" s="32">
        <f>ABS(T72/COS(RADIANS(AC72)))</f>
        <v>6.0000000000000008E-8</v>
      </c>
      <c r="AE72" s="33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</row>
    <row r="73" spans="2:46" ht="15">
      <c r="B73" s="11"/>
      <c r="C73" s="29"/>
      <c r="D73" s="224"/>
      <c r="E73" s="256"/>
      <c r="F73" s="283"/>
      <c r="G73" s="231"/>
      <c r="H73" s="266"/>
      <c r="I73" s="295"/>
      <c r="J73" s="231"/>
      <c r="K73" s="231"/>
      <c r="L73" s="274" t="str">
        <f>IF(D74="","",AC72)</f>
        <v/>
      </c>
      <c r="M73" s="227" t="str">
        <f>IF(D74="","",AD72)</f>
        <v/>
      </c>
      <c r="N73" s="227"/>
      <c r="O73" s="228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3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</row>
    <row r="74" spans="2:46" ht="15">
      <c r="B74" s="11"/>
      <c r="C74" s="29"/>
      <c r="D74" s="224" t="str">
        <f>IF(E74="","",D72+1)</f>
        <v/>
      </c>
      <c r="E74" s="257"/>
      <c r="F74" s="284"/>
      <c r="G74" s="233"/>
      <c r="H74" s="267"/>
      <c r="I74" s="285"/>
      <c r="J74" s="226"/>
      <c r="K74" s="226"/>
      <c r="L74" s="274"/>
      <c r="M74" s="227"/>
      <c r="N74" s="227" t="str">
        <f>IF(D74="","",N72+M73)</f>
        <v/>
      </c>
      <c r="O74" s="228" t="str">
        <f>IF(D74="","",SUM(M75:M116))</f>
        <v/>
      </c>
      <c r="P74" s="32"/>
      <c r="Q74" s="32">
        <f>IF(G74="N",E74+F74/60,-E74-F74/60)</f>
        <v>0</v>
      </c>
      <c r="R74" s="32">
        <f>IF(IF(G76="N",E76+F76/60,-E76-F76/60)=Q74,IF(G76="N",E76+F76/60,-E76-F76/60)+0.000000001,IF(G76="N",E76+F76/60,-E76-F76/60))</f>
        <v>1.0000000000000001E-9</v>
      </c>
      <c r="S74" s="32">
        <f>R74-Q74</f>
        <v>1.0000000000000001E-9</v>
      </c>
      <c r="T74" s="32">
        <f>S74*60</f>
        <v>6.0000000000000008E-8</v>
      </c>
      <c r="U74" s="32">
        <f>IF(J74="E",H74+I74/60,-H74-I74/60)</f>
        <v>0</v>
      </c>
      <c r="V74" s="32">
        <f>IF(J76="E",H76+I76/60,-H76-I76/60)</f>
        <v>0</v>
      </c>
      <c r="W74" s="32">
        <f>V74-U74</f>
        <v>0</v>
      </c>
      <c r="X74" s="32">
        <f>IF((W74*60)&gt;10800,-21600+W74*60,IF((W74*60)&lt;-10800,21600+W74*60,W74*60))</f>
        <v>0</v>
      </c>
      <c r="Y74" s="32">
        <f>LOG(POWER((1-0.082490633*SIN(RADIANS(R74)))/(1+0.082490633*SIN(RADIANS(R74))),(0.082490633/2))*TAN(RADIANS((45+R74/2))))*7915.70447</f>
        <v>5.9591890304707887E-8</v>
      </c>
      <c r="Z74" s="32">
        <f>LOG(POWER((1-0.082490633*SIN(RADIANS(Q74)))/(1+0.082490633*SIN(RADIANS(Q74))),(0.082490633/2))*TAN(RADIANS((45+Q74/2))))*7915.70447</f>
        <v>-3.8166656187698155E-13</v>
      </c>
      <c r="AA74" s="32">
        <f>Y74-Z74</f>
        <v>5.9592271971269763E-8</v>
      </c>
      <c r="AB74" s="32">
        <f>ABS(DEGREES(ATAN(X74/AA74)))</f>
        <v>0</v>
      </c>
      <c r="AC74" s="32">
        <f>IF(S74&gt;0,IF(X74&gt;0,AB74,360-AB74),IF(X74&gt;0,180-AB74,180+AB74))</f>
        <v>360</v>
      </c>
      <c r="AD74" s="32">
        <f>ABS(T74/COS(RADIANS(AC74)))</f>
        <v>6.0000000000000008E-8</v>
      </c>
      <c r="AE74" s="33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</row>
    <row r="75" spans="2:46" ht="15">
      <c r="B75" s="11"/>
      <c r="C75" s="29"/>
      <c r="D75" s="224"/>
      <c r="E75" s="256"/>
      <c r="F75" s="283"/>
      <c r="G75" s="231"/>
      <c r="H75" s="266"/>
      <c r="I75" s="295"/>
      <c r="J75" s="231"/>
      <c r="K75" s="231"/>
      <c r="L75" s="274" t="str">
        <f>IF(D76="","",AC74)</f>
        <v/>
      </c>
      <c r="M75" s="227" t="str">
        <f>IF(D76="","",AD74)</f>
        <v/>
      </c>
      <c r="N75" s="227"/>
      <c r="O75" s="228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3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</row>
    <row r="76" spans="2:46" ht="15">
      <c r="B76" s="11"/>
      <c r="C76" s="29"/>
      <c r="D76" s="224" t="str">
        <f>IF(E76="","",D74+1)</f>
        <v/>
      </c>
      <c r="E76" s="257"/>
      <c r="F76" s="284"/>
      <c r="G76" s="233"/>
      <c r="H76" s="267"/>
      <c r="I76" s="285"/>
      <c r="J76" s="226"/>
      <c r="K76" s="226"/>
      <c r="L76" s="274"/>
      <c r="M76" s="227"/>
      <c r="N76" s="227" t="str">
        <f>IF(D76="","",N74+M75)</f>
        <v/>
      </c>
      <c r="O76" s="228" t="str">
        <f>IF(D76="","",SUM(M77:M117))</f>
        <v/>
      </c>
      <c r="P76" s="32"/>
      <c r="Q76" s="32">
        <f>IF(G76="N",E76+F76/60,-E76-F76/60)</f>
        <v>0</v>
      </c>
      <c r="R76" s="32">
        <f>IF(IF(G78="N",E78+F78/60,-E78-F78/60)=Q76,IF(G78="N",E78+F78/60,-E78-F78/60)+0.000000001,IF(G78="N",E78+F78/60,-E78-F78/60))</f>
        <v>1.0000000000000001E-9</v>
      </c>
      <c r="S76" s="32">
        <f>R76-Q76</f>
        <v>1.0000000000000001E-9</v>
      </c>
      <c r="T76" s="32">
        <f>S76*60</f>
        <v>6.0000000000000008E-8</v>
      </c>
      <c r="U76" s="32">
        <f>IF(J76="E",H76+I76/60,-H76-I76/60)</f>
        <v>0</v>
      </c>
      <c r="V76" s="32">
        <f>IF(J78="E",H78+I78/60,-H78-I78/60)</f>
        <v>0</v>
      </c>
      <c r="W76" s="32">
        <f>V76-U76</f>
        <v>0</v>
      </c>
      <c r="X76" s="32">
        <f>IF((W76*60)&gt;10800,-21600+W76*60,IF((W76*60)&lt;-10800,21600+W76*60,W76*60))</f>
        <v>0</v>
      </c>
      <c r="Y76" s="32">
        <f>LOG(POWER((1-0.082490633*SIN(RADIANS(R76)))/(1+0.082490633*SIN(RADIANS(R76))),(0.082490633/2))*TAN(RADIANS((45+R76/2))))*7915.70447</f>
        <v>5.9591890304707887E-8</v>
      </c>
      <c r="Z76" s="32">
        <f>LOG(POWER((1-0.082490633*SIN(RADIANS(Q76)))/(1+0.082490633*SIN(RADIANS(Q76))),(0.082490633/2))*TAN(RADIANS((45+Q76/2))))*7915.70447</f>
        <v>-3.8166656187698155E-13</v>
      </c>
      <c r="AA76" s="32">
        <f>Y76-Z76</f>
        <v>5.9592271971269763E-8</v>
      </c>
      <c r="AB76" s="32">
        <f>ABS(DEGREES(ATAN(X76/AA76)))</f>
        <v>0</v>
      </c>
      <c r="AC76" s="32">
        <f>IF(S76&gt;0,IF(X76&gt;0,AB76,360-AB76),IF(X76&gt;0,180-AB76,180+AB76))</f>
        <v>360</v>
      </c>
      <c r="AD76" s="32">
        <f>ABS(T76/COS(RADIANS(AC76)))</f>
        <v>6.0000000000000008E-8</v>
      </c>
      <c r="AE76" s="33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</row>
    <row r="77" spans="2:46" ht="15">
      <c r="B77" s="11"/>
      <c r="C77" s="29"/>
      <c r="D77" s="224"/>
      <c r="E77" s="256"/>
      <c r="F77" s="283"/>
      <c r="G77" s="231"/>
      <c r="H77" s="266"/>
      <c r="I77" s="295"/>
      <c r="J77" s="231"/>
      <c r="K77" s="231"/>
      <c r="L77" s="274" t="str">
        <f>IF(D78="","",AC76)</f>
        <v/>
      </c>
      <c r="M77" s="227" t="str">
        <f>IF(D78="","",AD76)</f>
        <v/>
      </c>
      <c r="N77" s="227"/>
      <c r="O77" s="228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3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</row>
    <row r="78" spans="2:46" ht="15">
      <c r="B78" s="11"/>
      <c r="C78" s="29"/>
      <c r="D78" s="224" t="str">
        <f>IF(E78="","",D76+1)</f>
        <v/>
      </c>
      <c r="E78" s="257"/>
      <c r="F78" s="284"/>
      <c r="G78" s="233"/>
      <c r="H78" s="267"/>
      <c r="I78" s="285"/>
      <c r="J78" s="226"/>
      <c r="K78" s="226"/>
      <c r="L78" s="274"/>
      <c r="M78" s="227"/>
      <c r="N78" s="227" t="str">
        <f>IF(D78="","",N76+M77)</f>
        <v/>
      </c>
      <c r="O78" s="228" t="str">
        <f>IF(D78="","",SUM(M79:M118))</f>
        <v/>
      </c>
      <c r="P78" s="32"/>
      <c r="Q78" s="32">
        <f>IF(G78="N",E78+F78/60,-E78-F78/60)</f>
        <v>0</v>
      </c>
      <c r="R78" s="32">
        <f>IF(IF(G80="N",E80+F80/60,-E80-F80/60)=Q78,IF(G80="N",E80+F80/60,-E80-F80/60)+0.000000001,IF(G80="N",E80+F80/60,-E80-F80/60))</f>
        <v>1.0000000000000001E-9</v>
      </c>
      <c r="S78" s="32">
        <f>R78-Q78</f>
        <v>1.0000000000000001E-9</v>
      </c>
      <c r="T78" s="32">
        <f>S78*60</f>
        <v>6.0000000000000008E-8</v>
      </c>
      <c r="U78" s="32">
        <f>IF(J78="E",H78+I78/60,-H78-I78/60)</f>
        <v>0</v>
      </c>
      <c r="V78" s="32">
        <f>IF(J80="E",H80+I80/60,-H80-I80/60)</f>
        <v>0</v>
      </c>
      <c r="W78" s="32">
        <f>V78-U78</f>
        <v>0</v>
      </c>
      <c r="X78" s="32">
        <f>IF((W78*60)&gt;10800,-21600+W78*60,IF((W78*60)&lt;-10800,21600+W78*60,W78*60))</f>
        <v>0</v>
      </c>
      <c r="Y78" s="32">
        <f>LOG(POWER((1-0.082490633*SIN(RADIANS(R78)))/(1+0.082490633*SIN(RADIANS(R78))),(0.082490633/2))*TAN(RADIANS((45+R78/2))))*7915.70447</f>
        <v>5.9591890304707887E-8</v>
      </c>
      <c r="Z78" s="32">
        <f>LOG(POWER((1-0.082490633*SIN(RADIANS(Q78)))/(1+0.082490633*SIN(RADIANS(Q78))),(0.082490633/2))*TAN(RADIANS((45+Q78/2))))*7915.70447</f>
        <v>-3.8166656187698155E-13</v>
      </c>
      <c r="AA78" s="32">
        <f>Y78-Z78</f>
        <v>5.9592271971269763E-8</v>
      </c>
      <c r="AB78" s="32">
        <f>ABS(DEGREES(ATAN(X78/AA78)))</f>
        <v>0</v>
      </c>
      <c r="AC78" s="32">
        <f>IF(S78&gt;0,IF(X78&gt;0,AB78,360-AB78),IF(X78&gt;0,180-AB78,180+AB78))</f>
        <v>360</v>
      </c>
      <c r="AD78" s="32">
        <f>ABS(T78/COS(RADIANS(AC78)))</f>
        <v>6.0000000000000008E-8</v>
      </c>
      <c r="AE78" s="33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</row>
    <row r="79" spans="2:46" ht="15">
      <c r="B79" s="11"/>
      <c r="C79" s="29"/>
      <c r="D79" s="224"/>
      <c r="E79" s="256"/>
      <c r="F79" s="283"/>
      <c r="G79" s="231"/>
      <c r="H79" s="266"/>
      <c r="I79" s="295"/>
      <c r="J79" s="231"/>
      <c r="K79" s="231"/>
      <c r="L79" s="274" t="str">
        <f>IF(D80="","",AC78)</f>
        <v/>
      </c>
      <c r="M79" s="227" t="str">
        <f>IF(D80="","",AD78)</f>
        <v/>
      </c>
      <c r="N79" s="227"/>
      <c r="O79" s="228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3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</row>
    <row r="80" spans="2:46" ht="15">
      <c r="B80" s="11"/>
      <c r="C80" s="29"/>
      <c r="D80" s="224" t="str">
        <f>IF(E80="","",D78+1)</f>
        <v/>
      </c>
      <c r="E80" s="257"/>
      <c r="F80" s="284"/>
      <c r="G80" s="233"/>
      <c r="H80" s="267"/>
      <c r="I80" s="285"/>
      <c r="J80" s="226"/>
      <c r="K80" s="226"/>
      <c r="L80" s="274"/>
      <c r="M80" s="227"/>
      <c r="N80" s="227" t="str">
        <f>IF(D80="","",N78+M79)</f>
        <v/>
      </c>
      <c r="O80" s="228" t="str">
        <f>IF(D80="","",SUM(M81:M119))</f>
        <v/>
      </c>
      <c r="P80" s="32"/>
      <c r="Q80" s="32">
        <f>IF(G80="N",E80+F80/60,-E80-F80/60)</f>
        <v>0</v>
      </c>
      <c r="R80" s="32">
        <f>IF(IF(G82="N",E82+F82/60,-E82-F82/60)=Q80,IF(G82="N",E82+F82/60,-E82-F82/60)+0.000000001,IF(G82="N",E82+F82/60,-E82-F82/60))</f>
        <v>1.0000000000000001E-9</v>
      </c>
      <c r="S80" s="32">
        <f>R80-Q80</f>
        <v>1.0000000000000001E-9</v>
      </c>
      <c r="T80" s="32">
        <f>S80*60</f>
        <v>6.0000000000000008E-8</v>
      </c>
      <c r="U80" s="32">
        <f>IF(J80="E",H80+I80/60,-H80-I80/60)</f>
        <v>0</v>
      </c>
      <c r="V80" s="32">
        <f>IF(J82="E",H82+I82/60,-H82-I82/60)</f>
        <v>0</v>
      </c>
      <c r="W80" s="32">
        <f>V80-U80</f>
        <v>0</v>
      </c>
      <c r="X80" s="32">
        <f>IF((W80*60)&gt;10800,-21600+W80*60,IF((W80*60)&lt;-10800,21600+W80*60,W80*60))</f>
        <v>0</v>
      </c>
      <c r="Y80" s="32">
        <f>LOG(POWER((1-0.082490633*SIN(RADIANS(R80)))/(1+0.082490633*SIN(RADIANS(R80))),(0.082490633/2))*TAN(RADIANS((45+R80/2))))*7915.70447</f>
        <v>5.9591890304707887E-8</v>
      </c>
      <c r="Z80" s="32">
        <f>LOG(POWER((1-0.082490633*SIN(RADIANS(Q80)))/(1+0.082490633*SIN(RADIANS(Q80))),(0.082490633/2))*TAN(RADIANS((45+Q80/2))))*7915.70447</f>
        <v>-3.8166656187698155E-13</v>
      </c>
      <c r="AA80" s="32">
        <f>Y80-Z80</f>
        <v>5.9592271971269763E-8</v>
      </c>
      <c r="AB80" s="32">
        <f>ABS(DEGREES(ATAN(X80/AA80)))</f>
        <v>0</v>
      </c>
      <c r="AC80" s="32">
        <f>IF(S80&gt;0,IF(X80&gt;0,AB80,360-AB80),IF(X80&gt;0,180-AB80,180+AB80))</f>
        <v>360</v>
      </c>
      <c r="AD80" s="32">
        <f>ABS(T80/COS(RADIANS(AC80)))</f>
        <v>6.0000000000000008E-8</v>
      </c>
      <c r="AE80" s="33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</row>
    <row r="81" spans="2:46" ht="15.75" thickBot="1">
      <c r="B81" s="11"/>
      <c r="C81" s="29"/>
      <c r="D81" s="237"/>
      <c r="E81" s="258"/>
      <c r="F81" s="288"/>
      <c r="G81" s="241"/>
      <c r="H81" s="272"/>
      <c r="I81" s="300"/>
      <c r="J81" s="241"/>
      <c r="K81" s="242"/>
      <c r="L81" s="275" t="str">
        <f>IF(D81="","",AC80)</f>
        <v/>
      </c>
      <c r="M81" s="238" t="str">
        <f>IF(D81="","",AD80)</f>
        <v/>
      </c>
      <c r="N81" s="238"/>
      <c r="O81" s="239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3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</row>
    <row r="82" spans="2:46" ht="15">
      <c r="B82" s="11"/>
      <c r="C82" s="29"/>
      <c r="D82" s="219"/>
      <c r="E82" s="256"/>
      <c r="F82" s="283"/>
      <c r="G82" s="231"/>
      <c r="H82" s="266"/>
      <c r="I82" s="295"/>
      <c r="J82" s="231"/>
      <c r="K82" s="243"/>
      <c r="L82" s="260"/>
      <c r="M82" s="220"/>
      <c r="N82" s="220"/>
      <c r="O82" s="220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29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</row>
    <row r="83" spans="2:46" ht="15">
      <c r="B83" s="11"/>
      <c r="C83" s="29"/>
      <c r="D83" s="219"/>
      <c r="E83" s="256"/>
      <c r="F83" s="283"/>
      <c r="G83" s="231"/>
      <c r="H83" s="266"/>
      <c r="I83" s="295"/>
      <c r="J83" s="231"/>
      <c r="K83" s="243"/>
      <c r="L83" s="260"/>
      <c r="M83" s="220"/>
      <c r="N83" s="220"/>
      <c r="O83" s="220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29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</row>
    <row r="84" spans="2:46" ht="15.75">
      <c r="B84" s="11"/>
      <c r="C84" s="26"/>
      <c r="D84" s="219"/>
      <c r="E84" s="256"/>
      <c r="F84" s="283"/>
      <c r="G84" s="231"/>
      <c r="H84" s="266"/>
      <c r="I84" s="295"/>
      <c r="J84" s="231"/>
      <c r="K84" s="243"/>
      <c r="L84" s="260"/>
      <c r="M84" s="220"/>
      <c r="N84" s="220"/>
      <c r="O84" s="220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29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</row>
    <row r="85" spans="2:46" ht="15">
      <c r="B85" s="11"/>
      <c r="C85" s="29"/>
      <c r="D85" s="219"/>
      <c r="E85" s="256"/>
      <c r="F85" s="283"/>
      <c r="G85" s="231"/>
      <c r="H85" s="266"/>
      <c r="I85" s="295"/>
      <c r="J85" s="231"/>
      <c r="K85" s="243"/>
      <c r="L85" s="260"/>
      <c r="M85" s="220"/>
      <c r="N85" s="220"/>
      <c r="O85" s="220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29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</row>
    <row r="86" spans="2:46" ht="15">
      <c r="B86" s="11"/>
      <c r="C86" s="29"/>
      <c r="D86" s="219"/>
      <c r="E86" s="256"/>
      <c r="F86" s="283"/>
      <c r="G86" s="231"/>
      <c r="H86" s="266"/>
      <c r="I86" s="295"/>
      <c r="J86" s="231"/>
      <c r="K86" s="243"/>
      <c r="L86" s="260"/>
      <c r="M86" s="220"/>
      <c r="N86" s="220"/>
      <c r="O86" s="220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29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</row>
    <row r="87" spans="2:46" ht="15">
      <c r="B87" s="11"/>
      <c r="C87" s="29"/>
      <c r="D87" s="219"/>
      <c r="E87" s="256"/>
      <c r="F87" s="283"/>
      <c r="G87" s="231"/>
      <c r="H87" s="266"/>
      <c r="I87" s="295"/>
      <c r="J87" s="231"/>
      <c r="K87" s="244"/>
      <c r="L87" s="260"/>
      <c r="M87" s="220"/>
      <c r="N87" s="220"/>
      <c r="O87" s="220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29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</row>
    <row r="88" spans="2:46" ht="15">
      <c r="B88" s="11"/>
      <c r="C88" s="29"/>
      <c r="D88" s="219"/>
      <c r="E88" s="256"/>
      <c r="F88" s="283"/>
      <c r="G88" s="231"/>
      <c r="H88" s="266"/>
      <c r="I88" s="295"/>
      <c r="J88" s="231"/>
      <c r="K88" s="244"/>
      <c r="L88" s="260"/>
      <c r="M88" s="220"/>
      <c r="N88" s="220"/>
      <c r="O88" s="220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29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</row>
    <row r="89" spans="2:46" ht="15">
      <c r="B89" s="11"/>
      <c r="C89" s="29"/>
      <c r="D89" s="219"/>
      <c r="E89" s="256"/>
      <c r="F89" s="283"/>
      <c r="G89" s="231"/>
      <c r="H89" s="266"/>
      <c r="I89" s="295"/>
      <c r="J89" s="231"/>
      <c r="K89" s="244"/>
      <c r="L89" s="260"/>
      <c r="M89" s="220"/>
      <c r="N89" s="220"/>
      <c r="O89" s="220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29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</row>
    <row r="90" spans="2:46" ht="15">
      <c r="B90" s="11"/>
      <c r="C90" s="29"/>
      <c r="D90" s="219"/>
      <c r="E90" s="256"/>
      <c r="F90" s="283"/>
      <c r="G90" s="231"/>
      <c r="H90" s="266"/>
      <c r="I90" s="295"/>
      <c r="J90" s="231"/>
      <c r="K90" s="244"/>
      <c r="L90" s="260"/>
      <c r="M90" s="220"/>
      <c r="N90" s="220"/>
      <c r="O90" s="220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29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</row>
    <row r="91" spans="2:46" ht="15">
      <c r="B91" s="11"/>
      <c r="C91" s="29"/>
      <c r="D91" s="219"/>
      <c r="E91" s="256"/>
      <c r="F91" s="283"/>
      <c r="G91" s="231"/>
      <c r="H91" s="266"/>
      <c r="I91" s="295"/>
      <c r="J91" s="231"/>
      <c r="K91" s="244"/>
      <c r="L91" s="260"/>
      <c r="M91" s="220"/>
      <c r="N91" s="220"/>
      <c r="O91" s="220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29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</row>
    <row r="92" spans="2:46" ht="15">
      <c r="B92" s="11"/>
      <c r="C92" s="29"/>
      <c r="D92" s="219"/>
      <c r="E92" s="256"/>
      <c r="F92" s="283"/>
      <c r="G92" s="231"/>
      <c r="H92" s="266"/>
      <c r="I92" s="295"/>
      <c r="J92" s="231"/>
      <c r="K92" s="244"/>
      <c r="L92" s="260"/>
      <c r="M92" s="220"/>
      <c r="N92" s="220"/>
      <c r="O92" s="220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29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</row>
    <row r="93" spans="2:46" ht="15">
      <c r="B93" s="11"/>
      <c r="C93" s="29"/>
      <c r="D93" s="219"/>
      <c r="E93" s="256"/>
      <c r="F93" s="283"/>
      <c r="G93" s="231"/>
      <c r="H93" s="266"/>
      <c r="I93" s="295"/>
      <c r="J93" s="231"/>
      <c r="K93" s="244"/>
      <c r="L93" s="260"/>
      <c r="M93" s="220"/>
      <c r="N93" s="220"/>
      <c r="O93" s="220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29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</row>
    <row r="94" spans="2:46" ht="15">
      <c r="B94" s="11"/>
      <c r="C94" s="29"/>
      <c r="D94" s="219"/>
      <c r="E94" s="256"/>
      <c r="F94" s="283"/>
      <c r="G94" s="231"/>
      <c r="H94" s="266"/>
      <c r="I94" s="295"/>
      <c r="J94" s="231"/>
      <c r="K94" s="244"/>
      <c r="L94" s="260"/>
      <c r="M94" s="220"/>
      <c r="N94" s="220"/>
      <c r="O94" s="220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29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</row>
    <row r="95" spans="2:46" ht="15">
      <c r="B95" s="11"/>
      <c r="C95" s="29"/>
      <c r="D95" s="219"/>
      <c r="E95" s="256"/>
      <c r="F95" s="283"/>
      <c r="G95" s="231"/>
      <c r="H95" s="266"/>
      <c r="I95" s="295"/>
      <c r="J95" s="231"/>
      <c r="K95" s="244"/>
      <c r="L95" s="260"/>
      <c r="M95" s="220"/>
      <c r="N95" s="220"/>
      <c r="O95" s="220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29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</row>
    <row r="96" spans="2:46" ht="15">
      <c r="B96" s="11"/>
      <c r="C96" s="29"/>
      <c r="D96" s="219"/>
      <c r="E96" s="256"/>
      <c r="F96" s="283"/>
      <c r="G96" s="231"/>
      <c r="H96" s="266"/>
      <c r="I96" s="295"/>
      <c r="J96" s="231"/>
      <c r="K96" s="244"/>
      <c r="L96" s="260"/>
      <c r="M96" s="220"/>
      <c r="N96" s="220"/>
      <c r="O96" s="220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29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</row>
    <row r="97" spans="2:46" ht="15">
      <c r="B97" s="11"/>
      <c r="C97" s="29"/>
      <c r="D97" s="219"/>
      <c r="E97" s="256"/>
      <c r="F97" s="283"/>
      <c r="G97" s="231"/>
      <c r="H97" s="266"/>
      <c r="I97" s="295"/>
      <c r="J97" s="231"/>
      <c r="K97" s="244"/>
      <c r="L97" s="260"/>
      <c r="M97" s="220"/>
      <c r="N97" s="220"/>
      <c r="O97" s="220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29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</row>
    <row r="98" spans="2:46" ht="15">
      <c r="B98" s="11"/>
      <c r="C98" s="29"/>
      <c r="D98" s="219"/>
      <c r="E98" s="256"/>
      <c r="F98" s="283"/>
      <c r="G98" s="231"/>
      <c r="H98" s="266"/>
      <c r="I98" s="295"/>
      <c r="J98" s="231"/>
      <c r="K98" s="244"/>
      <c r="L98" s="260"/>
      <c r="M98" s="220"/>
      <c r="N98" s="220"/>
      <c r="O98" s="220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29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</row>
    <row r="99" spans="2:46" ht="15">
      <c r="B99" s="11"/>
      <c r="C99" s="29"/>
      <c r="D99" s="219"/>
      <c r="E99" s="256"/>
      <c r="F99" s="283"/>
      <c r="G99" s="231"/>
      <c r="H99" s="266"/>
      <c r="I99" s="295"/>
      <c r="J99" s="231"/>
      <c r="K99" s="244"/>
      <c r="L99" s="260"/>
      <c r="M99" s="220"/>
      <c r="N99" s="220"/>
      <c r="O99" s="220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29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</row>
    <row r="100" spans="2:46" ht="15">
      <c r="B100" s="11"/>
      <c r="C100" s="29"/>
      <c r="D100" s="219"/>
      <c r="E100" s="256"/>
      <c r="F100" s="283"/>
      <c r="G100" s="231"/>
      <c r="H100" s="266"/>
      <c r="I100" s="295"/>
      <c r="J100" s="231"/>
      <c r="K100" s="244"/>
      <c r="L100" s="260"/>
      <c r="M100" s="220"/>
      <c r="N100" s="220"/>
      <c r="O100" s="220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29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</row>
    <row r="101" spans="2:46" ht="15">
      <c r="B101" s="11"/>
      <c r="C101" s="29"/>
      <c r="D101" s="219"/>
      <c r="E101" s="256"/>
      <c r="F101" s="283"/>
      <c r="G101" s="231"/>
      <c r="H101" s="266"/>
      <c r="I101" s="295"/>
      <c r="J101" s="231"/>
      <c r="K101" s="244"/>
      <c r="L101" s="260"/>
      <c r="M101" s="220"/>
      <c r="N101" s="220"/>
      <c r="O101" s="220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29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</row>
    <row r="102" spans="2:46" ht="15">
      <c r="B102" s="11"/>
      <c r="C102" s="29"/>
      <c r="D102" s="219"/>
      <c r="E102" s="247"/>
      <c r="F102" s="289"/>
      <c r="G102" s="219"/>
      <c r="H102" s="260"/>
      <c r="I102" s="277"/>
      <c r="J102" s="219"/>
      <c r="K102" s="219"/>
      <c r="L102" s="260"/>
      <c r="M102" s="220"/>
      <c r="N102" s="220"/>
      <c r="O102" s="220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29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</row>
    <row r="103" spans="2:46" ht="15">
      <c r="B103" s="11"/>
      <c r="C103" s="29"/>
      <c r="D103" s="219"/>
      <c r="E103" s="247"/>
      <c r="F103" s="289"/>
      <c r="G103" s="219"/>
      <c r="H103" s="260"/>
      <c r="I103" s="277"/>
      <c r="J103" s="219"/>
      <c r="K103" s="219"/>
      <c r="L103" s="260"/>
      <c r="M103" s="220"/>
      <c r="N103" s="220"/>
      <c r="O103" s="220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29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</row>
    <row r="104" spans="2:46" ht="15">
      <c r="B104" s="11"/>
      <c r="C104" s="29"/>
      <c r="D104" s="219"/>
      <c r="E104" s="247"/>
      <c r="F104" s="289"/>
      <c r="G104" s="219"/>
      <c r="H104" s="260"/>
      <c r="I104" s="277"/>
      <c r="J104" s="219"/>
      <c r="K104" s="219"/>
      <c r="L104" s="260"/>
      <c r="M104" s="220"/>
      <c r="N104" s="220"/>
      <c r="O104" s="220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29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</row>
    <row r="105" spans="2:46" ht="15">
      <c r="B105" s="11"/>
      <c r="C105" s="29"/>
      <c r="D105" s="219"/>
      <c r="E105" s="247"/>
      <c r="F105" s="289"/>
      <c r="G105" s="219"/>
      <c r="H105" s="260"/>
      <c r="I105" s="277"/>
      <c r="J105" s="219"/>
      <c r="K105" s="219"/>
      <c r="L105" s="260"/>
      <c r="M105" s="220"/>
      <c r="N105" s="220"/>
      <c r="O105" s="220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29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</row>
    <row r="106" spans="2:46" ht="15">
      <c r="B106" s="11"/>
      <c r="C106" s="29"/>
      <c r="D106" s="219"/>
      <c r="E106" s="247"/>
      <c r="F106" s="289"/>
      <c r="G106" s="219"/>
      <c r="H106" s="260"/>
      <c r="I106" s="277"/>
      <c r="J106" s="219"/>
      <c r="K106" s="219"/>
      <c r="L106" s="260"/>
      <c r="M106" s="220"/>
      <c r="N106" s="220"/>
      <c r="O106" s="220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29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</row>
    <row r="107" spans="2:46" ht="15">
      <c r="B107" s="11"/>
      <c r="C107" s="29"/>
      <c r="D107" s="219"/>
      <c r="E107" s="247"/>
      <c r="F107" s="289"/>
      <c r="G107" s="219"/>
      <c r="H107" s="260"/>
      <c r="I107" s="277"/>
      <c r="J107" s="219"/>
      <c r="K107" s="219"/>
      <c r="L107" s="260"/>
      <c r="M107" s="220"/>
      <c r="N107" s="220"/>
      <c r="O107" s="220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29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</row>
    <row r="108" spans="2:46" ht="15">
      <c r="B108" s="11"/>
      <c r="C108" s="29"/>
      <c r="D108" s="219"/>
      <c r="E108" s="247"/>
      <c r="F108" s="289"/>
      <c r="G108" s="219"/>
      <c r="H108" s="260"/>
      <c r="I108" s="277"/>
      <c r="J108" s="219"/>
      <c r="K108" s="219"/>
      <c r="L108" s="260"/>
      <c r="M108" s="220"/>
      <c r="N108" s="220"/>
      <c r="O108" s="220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29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</row>
    <row r="109" spans="2:46" ht="15">
      <c r="B109" s="11"/>
      <c r="C109" s="29"/>
      <c r="D109" s="219"/>
      <c r="E109" s="247"/>
      <c r="F109" s="289"/>
      <c r="G109" s="219"/>
      <c r="H109" s="260"/>
      <c r="I109" s="277"/>
      <c r="J109" s="219"/>
      <c r="K109" s="219"/>
      <c r="L109" s="260"/>
      <c r="M109" s="220"/>
      <c r="N109" s="220"/>
      <c r="O109" s="220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29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</row>
    <row r="110" spans="2:46" ht="15">
      <c r="B110" s="11"/>
      <c r="C110" s="29"/>
      <c r="D110" s="219"/>
      <c r="E110" s="247"/>
      <c r="F110" s="289"/>
      <c r="G110" s="219"/>
      <c r="H110" s="260"/>
      <c r="I110" s="277"/>
      <c r="J110" s="219"/>
      <c r="K110" s="219"/>
      <c r="L110" s="260"/>
      <c r="M110" s="220"/>
      <c r="N110" s="220"/>
      <c r="O110" s="220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29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</row>
    <row r="111" spans="2:46" ht="15">
      <c r="B111" s="11"/>
      <c r="C111" s="29"/>
      <c r="D111" s="219"/>
      <c r="E111" s="247"/>
      <c r="F111" s="289"/>
      <c r="G111" s="219"/>
      <c r="H111" s="260"/>
      <c r="I111" s="277"/>
      <c r="J111" s="219"/>
      <c r="K111" s="219"/>
      <c r="L111" s="260"/>
      <c r="M111" s="220"/>
      <c r="N111" s="220"/>
      <c r="O111" s="220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29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</row>
    <row r="112" spans="2:46" ht="15">
      <c r="B112" s="11"/>
      <c r="C112" s="29"/>
      <c r="D112" s="219"/>
      <c r="E112" s="247"/>
      <c r="F112" s="289"/>
      <c r="G112" s="219"/>
      <c r="H112" s="260"/>
      <c r="I112" s="277"/>
      <c r="J112" s="219"/>
      <c r="K112" s="219"/>
      <c r="L112" s="260"/>
      <c r="M112" s="220"/>
      <c r="N112" s="220"/>
      <c r="O112" s="220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29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</row>
    <row r="113" spans="2:46" ht="15">
      <c r="B113" s="11"/>
      <c r="C113" s="29"/>
      <c r="D113" s="219"/>
      <c r="E113" s="247"/>
      <c r="F113" s="289"/>
      <c r="G113" s="219"/>
      <c r="H113" s="260"/>
      <c r="I113" s="277"/>
      <c r="J113" s="219"/>
      <c r="K113" s="219"/>
      <c r="L113" s="260"/>
      <c r="M113" s="220"/>
      <c r="N113" s="220"/>
      <c r="O113" s="220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29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</row>
    <row r="114" spans="2:46" ht="15">
      <c r="B114" s="11"/>
      <c r="C114" s="29"/>
      <c r="D114" s="219"/>
      <c r="E114" s="247"/>
      <c r="F114" s="289"/>
      <c r="G114" s="219"/>
      <c r="H114" s="260"/>
      <c r="I114" s="277"/>
      <c r="J114" s="219"/>
      <c r="K114" s="219"/>
      <c r="L114" s="260"/>
      <c r="M114" s="220"/>
      <c r="N114" s="220"/>
      <c r="O114" s="220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29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</row>
    <row r="115" spans="2:46" ht="15">
      <c r="B115" s="11"/>
      <c r="C115" s="29"/>
      <c r="D115" s="219"/>
      <c r="E115" s="247"/>
      <c r="F115" s="289"/>
      <c r="G115" s="219"/>
      <c r="H115" s="260"/>
      <c r="I115" s="277"/>
      <c r="J115" s="219"/>
      <c r="K115" s="219"/>
      <c r="L115" s="260"/>
      <c r="M115" s="220"/>
      <c r="N115" s="220"/>
      <c r="O115" s="220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29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</row>
    <row r="116" spans="2:46" ht="15">
      <c r="B116" s="11"/>
      <c r="C116" s="29"/>
      <c r="D116" s="219"/>
      <c r="E116" s="247"/>
      <c r="F116" s="289"/>
      <c r="G116" s="219"/>
      <c r="H116" s="260"/>
      <c r="I116" s="277"/>
      <c r="J116" s="219"/>
      <c r="K116" s="219"/>
      <c r="L116" s="260"/>
      <c r="M116" s="220"/>
      <c r="N116" s="219"/>
      <c r="O116" s="219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29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</row>
    <row r="117" spans="2:46" ht="15">
      <c r="B117" s="11"/>
      <c r="C117" s="29"/>
      <c r="D117" s="219"/>
      <c r="E117" s="247"/>
      <c r="F117" s="289"/>
      <c r="G117" s="219"/>
      <c r="H117" s="260"/>
      <c r="I117" s="277"/>
      <c r="J117" s="219"/>
      <c r="K117" s="219"/>
      <c r="L117" s="260"/>
      <c r="M117" s="220"/>
      <c r="N117" s="219"/>
      <c r="O117" s="219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29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</row>
    <row r="118" spans="2:46" ht="15">
      <c r="B118" s="11"/>
      <c r="C118" s="11"/>
      <c r="F118" s="290"/>
      <c r="M118" s="245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1"/>
    </row>
    <row r="119" spans="2:46" ht="15">
      <c r="B119" s="11"/>
      <c r="C119" s="11"/>
      <c r="F119" s="290"/>
      <c r="M119" s="245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1"/>
    </row>
    <row r="120" spans="2:46" ht="15">
      <c r="B120" s="11"/>
      <c r="C120" s="11"/>
      <c r="F120" s="290"/>
      <c r="M120" s="245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1"/>
    </row>
    <row r="121" spans="2:46" ht="15">
      <c r="B121" s="11"/>
      <c r="C121" s="11"/>
      <c r="F121" s="290"/>
      <c r="M121" s="245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1"/>
    </row>
    <row r="122" spans="2:46" ht="15">
      <c r="B122" s="11"/>
      <c r="C122" s="11"/>
      <c r="F122" s="290"/>
      <c r="M122" s="245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1"/>
    </row>
    <row r="123" spans="2:46" ht="15">
      <c r="B123" s="11"/>
      <c r="C123" s="11"/>
      <c r="F123" s="290"/>
      <c r="M123" s="245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1"/>
    </row>
    <row r="124" spans="2:46" ht="15">
      <c r="B124" s="11"/>
      <c r="C124" s="11"/>
      <c r="F124" s="290"/>
      <c r="M124" s="245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1"/>
    </row>
    <row r="125" spans="2:46" ht="15">
      <c r="B125" s="11"/>
      <c r="C125" s="11"/>
      <c r="F125" s="290"/>
      <c r="M125" s="245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1"/>
    </row>
    <row r="126" spans="2:46" ht="15">
      <c r="B126" s="11"/>
      <c r="C126" s="11"/>
      <c r="F126" s="290"/>
      <c r="M126" s="245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1"/>
    </row>
    <row r="127" spans="2:46" ht="15">
      <c r="B127" s="11"/>
      <c r="C127" s="11"/>
      <c r="F127" s="290"/>
      <c r="M127" s="245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1"/>
    </row>
    <row r="128" spans="2:46" ht="15">
      <c r="B128" s="11"/>
      <c r="C128" s="11"/>
      <c r="F128" s="290"/>
      <c r="M128" s="245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1"/>
    </row>
    <row r="129" spans="2:31" ht="15">
      <c r="B129" s="11"/>
      <c r="C129" s="11"/>
      <c r="F129" s="290"/>
      <c r="M129" s="245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1"/>
    </row>
    <row r="130" spans="2:31" ht="15">
      <c r="B130" s="11"/>
      <c r="C130" s="11"/>
      <c r="F130" s="290"/>
      <c r="M130" s="245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1"/>
    </row>
    <row r="131" spans="2:31" ht="15">
      <c r="B131" s="11"/>
      <c r="C131" s="11"/>
      <c r="F131" s="290"/>
      <c r="M131" s="245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1"/>
    </row>
    <row r="132" spans="2:31" ht="15">
      <c r="B132" s="11"/>
      <c r="C132" s="11"/>
      <c r="F132" s="290"/>
      <c r="M132" s="245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1"/>
    </row>
    <row r="133" spans="2:31" ht="15">
      <c r="B133" s="11"/>
      <c r="C133" s="11"/>
      <c r="F133" s="290"/>
      <c r="M133" s="245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1"/>
    </row>
    <row r="134" spans="2:31" ht="15">
      <c r="B134" s="11"/>
      <c r="C134" s="11"/>
      <c r="F134" s="290"/>
      <c r="M134" s="245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1"/>
    </row>
    <row r="135" spans="2:31" ht="15">
      <c r="B135" s="11"/>
      <c r="C135" s="11"/>
      <c r="F135" s="290"/>
      <c r="M135" s="245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1"/>
    </row>
    <row r="136" spans="2:31" ht="15">
      <c r="B136" s="11"/>
      <c r="C136" s="11"/>
      <c r="F136" s="290"/>
      <c r="M136" s="245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1"/>
    </row>
    <row r="137" spans="2:31" ht="15">
      <c r="B137" s="11"/>
      <c r="C137" s="11"/>
      <c r="F137" s="290"/>
      <c r="M137" s="245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1"/>
    </row>
    <row r="138" spans="2:31" ht="15">
      <c r="B138" s="11"/>
      <c r="C138" s="11"/>
      <c r="F138" s="290"/>
      <c r="M138" s="245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1"/>
    </row>
    <row r="139" spans="2:31" ht="15">
      <c r="B139" s="11"/>
      <c r="C139" s="11"/>
      <c r="F139" s="290"/>
      <c r="M139" s="245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1"/>
    </row>
    <row r="140" spans="2:31" ht="15">
      <c r="B140" s="11"/>
      <c r="C140" s="11"/>
      <c r="F140" s="290"/>
      <c r="M140" s="245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1"/>
    </row>
    <row r="141" spans="2:31" ht="15">
      <c r="B141" s="11"/>
      <c r="C141" s="11"/>
      <c r="F141" s="290"/>
      <c r="M141" s="245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1"/>
    </row>
    <row r="142" spans="2:31" ht="15">
      <c r="B142" s="11"/>
      <c r="C142" s="11"/>
      <c r="F142" s="290"/>
      <c r="M142" s="245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1"/>
    </row>
    <row r="143" spans="2:31" ht="15">
      <c r="B143" s="11"/>
      <c r="C143" s="11"/>
      <c r="F143" s="290"/>
      <c r="M143" s="245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1"/>
    </row>
    <row r="144" spans="2:31" ht="15">
      <c r="B144" s="11"/>
      <c r="C144" s="11"/>
      <c r="F144" s="290"/>
      <c r="M144" s="245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1"/>
    </row>
    <row r="145" spans="2:31" ht="15">
      <c r="B145" s="11"/>
      <c r="C145" s="11"/>
      <c r="F145" s="290"/>
      <c r="M145" s="245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1"/>
    </row>
    <row r="146" spans="2:31" ht="15">
      <c r="B146" s="11"/>
      <c r="C146" s="11"/>
      <c r="F146" s="290"/>
      <c r="M146" s="245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1"/>
    </row>
    <row r="147" spans="2:31" ht="15">
      <c r="B147" s="11"/>
      <c r="C147" s="11"/>
      <c r="F147" s="290"/>
      <c r="M147" s="245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1"/>
    </row>
    <row r="148" spans="2:31" ht="15">
      <c r="B148" s="11"/>
      <c r="C148" s="11"/>
      <c r="F148" s="290"/>
      <c r="M148" s="245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1"/>
    </row>
    <row r="149" spans="2:31" ht="15">
      <c r="B149" s="11"/>
      <c r="C149" s="11"/>
      <c r="F149" s="290"/>
      <c r="M149" s="245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1"/>
    </row>
    <row r="150" spans="2:31" ht="15">
      <c r="B150" s="11"/>
      <c r="C150" s="11"/>
      <c r="F150" s="290"/>
      <c r="M150" s="245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1"/>
    </row>
    <row r="151" spans="2:31" ht="15">
      <c r="B151" s="11"/>
      <c r="C151" s="11"/>
      <c r="F151" s="290"/>
      <c r="M151" s="245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1"/>
    </row>
    <row r="152" spans="2:31" ht="15">
      <c r="B152" s="11"/>
      <c r="C152" s="11"/>
      <c r="F152" s="290"/>
      <c r="M152" s="245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1"/>
    </row>
    <row r="153" spans="2:31" ht="15">
      <c r="B153" s="11"/>
      <c r="C153" s="11"/>
      <c r="F153" s="290"/>
      <c r="M153" s="245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1"/>
    </row>
    <row r="154" spans="2:31" ht="15">
      <c r="B154" s="11"/>
      <c r="C154" s="11"/>
      <c r="F154" s="290"/>
      <c r="M154" s="245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1"/>
    </row>
    <row r="155" spans="2:31" ht="15">
      <c r="B155" s="11"/>
      <c r="C155" s="11"/>
      <c r="F155" s="290"/>
      <c r="M155" s="245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1"/>
    </row>
    <row r="156" spans="2:31" ht="15">
      <c r="B156" s="11"/>
      <c r="C156" s="11"/>
      <c r="F156" s="290"/>
      <c r="M156" s="245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1"/>
    </row>
    <row r="157" spans="2:31" ht="15">
      <c r="B157" s="11"/>
      <c r="C157" s="11"/>
      <c r="F157" s="290"/>
      <c r="M157" s="245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1"/>
    </row>
    <row r="158" spans="2:31" ht="15">
      <c r="B158" s="11"/>
      <c r="C158" s="11"/>
      <c r="F158" s="290"/>
      <c r="M158" s="245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1"/>
    </row>
    <row r="159" spans="2:31" ht="15">
      <c r="B159" s="11"/>
      <c r="C159" s="11"/>
      <c r="F159" s="290"/>
      <c r="M159" s="245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1"/>
    </row>
    <row r="160" spans="2:31" ht="15">
      <c r="B160" s="11"/>
      <c r="C160" s="11"/>
      <c r="F160" s="290"/>
      <c r="M160" s="245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1"/>
    </row>
    <row r="161" spans="2:31" ht="15">
      <c r="B161" s="11"/>
      <c r="C161" s="11"/>
      <c r="F161" s="290"/>
      <c r="M161" s="245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1"/>
    </row>
    <row r="162" spans="2:31" ht="15">
      <c r="B162" s="11"/>
      <c r="C162" s="11"/>
      <c r="F162" s="290"/>
      <c r="M162" s="245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1"/>
    </row>
    <row r="163" spans="2:31" ht="15">
      <c r="B163" s="11"/>
      <c r="C163" s="11"/>
      <c r="F163" s="290"/>
      <c r="M163" s="245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1"/>
    </row>
    <row r="164" spans="2:31" ht="15">
      <c r="B164" s="11"/>
      <c r="C164" s="11"/>
      <c r="F164" s="290"/>
      <c r="M164" s="245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1"/>
    </row>
    <row r="165" spans="2:31" ht="15">
      <c r="B165" s="11"/>
      <c r="C165" s="11"/>
      <c r="F165" s="290"/>
      <c r="M165" s="245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1"/>
    </row>
    <row r="166" spans="2:31" ht="15">
      <c r="B166" s="11"/>
      <c r="C166" s="11"/>
      <c r="F166" s="290"/>
      <c r="M166" s="245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1"/>
    </row>
    <row r="167" spans="2:31" ht="15">
      <c r="B167" s="11"/>
      <c r="C167" s="11"/>
      <c r="F167" s="290"/>
      <c r="M167" s="245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1"/>
    </row>
    <row r="168" spans="2:31" ht="15">
      <c r="B168" s="11"/>
      <c r="C168" s="11"/>
      <c r="F168" s="290"/>
      <c r="M168" s="245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1"/>
    </row>
    <row r="169" spans="2:31" ht="15">
      <c r="B169" s="11"/>
      <c r="C169" s="11"/>
      <c r="F169" s="290"/>
      <c r="M169" s="245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1"/>
    </row>
    <row r="170" spans="2:31" ht="15">
      <c r="B170" s="11"/>
      <c r="C170" s="11"/>
      <c r="F170" s="290"/>
      <c r="M170" s="245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1"/>
    </row>
    <row r="171" spans="2:31" ht="15">
      <c r="B171" s="11"/>
      <c r="C171" s="11"/>
      <c r="M171" s="245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1"/>
    </row>
    <row r="172" spans="2:31" ht="15">
      <c r="B172" s="11"/>
      <c r="C172" s="11"/>
      <c r="M172" s="245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1"/>
    </row>
    <row r="173" spans="2:31" ht="15">
      <c r="B173" s="11"/>
      <c r="C173" s="11"/>
      <c r="M173" s="245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1"/>
    </row>
    <row r="174" spans="2:31" ht="15">
      <c r="B174" s="11"/>
      <c r="C174" s="11"/>
      <c r="M174" s="245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1"/>
    </row>
    <row r="175" spans="2:31" ht="15">
      <c r="B175" s="11"/>
      <c r="C175" s="11"/>
      <c r="M175" s="245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1"/>
    </row>
    <row r="176" spans="2:31" ht="15">
      <c r="B176" s="11"/>
      <c r="C176" s="11"/>
      <c r="M176" s="245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1"/>
    </row>
    <row r="177" spans="2:31" ht="15">
      <c r="B177" s="11"/>
      <c r="C177" s="11"/>
      <c r="M177" s="245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1"/>
    </row>
    <row r="178" spans="2:31" ht="15">
      <c r="B178" s="11"/>
      <c r="C178" s="11"/>
      <c r="M178" s="245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1"/>
    </row>
    <row r="179" spans="2:31" ht="15">
      <c r="B179" s="11"/>
      <c r="C179" s="11"/>
      <c r="M179" s="245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1"/>
    </row>
    <row r="180" spans="2:31" ht="15">
      <c r="B180" s="11"/>
      <c r="C180" s="11"/>
      <c r="M180" s="245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1"/>
    </row>
    <row r="181" spans="2:31" ht="15">
      <c r="B181" s="11"/>
      <c r="C181" s="11"/>
      <c r="M181" s="245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1"/>
    </row>
    <row r="182" spans="2:31" ht="15">
      <c r="B182" s="11"/>
      <c r="C182" s="11"/>
      <c r="M182" s="245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1"/>
    </row>
    <row r="183" spans="2:31" ht="15">
      <c r="B183" s="11"/>
      <c r="C183" s="11"/>
      <c r="M183" s="245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1"/>
    </row>
    <row r="184" spans="2:31" ht="15">
      <c r="B184" s="11"/>
      <c r="C184" s="11"/>
      <c r="M184" s="245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1"/>
    </row>
    <row r="185" spans="2:31" ht="15">
      <c r="B185" s="11"/>
      <c r="C185" s="11"/>
      <c r="M185" s="245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1"/>
    </row>
    <row r="186" spans="2:31" ht="15">
      <c r="B186" s="11"/>
      <c r="C186" s="11"/>
      <c r="M186" s="245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1"/>
    </row>
    <row r="187" spans="2:31" ht="15">
      <c r="B187" s="11"/>
      <c r="C187" s="11"/>
      <c r="M187" s="245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1"/>
    </row>
    <row r="188" spans="2:31" ht="15">
      <c r="B188" s="11"/>
      <c r="C188" s="11"/>
      <c r="M188" s="245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1"/>
    </row>
    <row r="189" spans="2:31" ht="15">
      <c r="B189" s="11"/>
      <c r="C189" s="11"/>
      <c r="M189" s="245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1"/>
    </row>
    <row r="190" spans="2:31" ht="15">
      <c r="B190" s="11"/>
      <c r="C190" s="11"/>
      <c r="M190" s="245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1"/>
    </row>
    <row r="191" spans="2:31" ht="15">
      <c r="B191" s="11"/>
      <c r="C191" s="11"/>
      <c r="M191" s="245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1"/>
    </row>
    <row r="192" spans="2:31" ht="15">
      <c r="B192" s="11"/>
      <c r="C192" s="11"/>
      <c r="M192" s="245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1"/>
    </row>
    <row r="193" spans="2:31" ht="15">
      <c r="B193" s="11"/>
      <c r="C193" s="11"/>
      <c r="M193" s="245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1"/>
    </row>
    <row r="194" spans="2:31" ht="15">
      <c r="B194" s="11"/>
      <c r="C194" s="11"/>
      <c r="M194" s="245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1"/>
    </row>
    <row r="195" spans="2:31" ht="15">
      <c r="B195" s="11"/>
      <c r="C195" s="11"/>
      <c r="M195" s="245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1"/>
    </row>
    <row r="196" spans="2:31" ht="15">
      <c r="B196" s="11"/>
      <c r="C196" s="11"/>
      <c r="M196" s="245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1"/>
    </row>
    <row r="197" spans="2:31" ht="15">
      <c r="B197" s="11"/>
      <c r="C197" s="11"/>
      <c r="M197" s="245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1"/>
    </row>
    <row r="198" spans="2:31" ht="15">
      <c r="B198" s="11"/>
      <c r="C198" s="11"/>
      <c r="M198" s="245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1"/>
    </row>
    <row r="199" spans="2:31" ht="15">
      <c r="B199" s="11"/>
      <c r="C199" s="11"/>
      <c r="M199" s="245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1"/>
    </row>
    <row r="200" spans="2:31" ht="15">
      <c r="B200" s="11"/>
      <c r="C200" s="11"/>
      <c r="M200" s="245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1"/>
    </row>
    <row r="201" spans="2:31" ht="15">
      <c r="B201" s="11"/>
      <c r="C201" s="11"/>
      <c r="M201" s="245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1"/>
    </row>
    <row r="202" spans="2:31" ht="15">
      <c r="B202" s="11"/>
      <c r="C202" s="11"/>
      <c r="M202" s="245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1"/>
    </row>
    <row r="203" spans="2:31" ht="15">
      <c r="B203" s="11"/>
      <c r="C203" s="11"/>
      <c r="M203" s="245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1"/>
    </row>
    <row r="204" spans="2:31" ht="15">
      <c r="B204" s="11"/>
      <c r="C204" s="11"/>
      <c r="M204" s="245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1"/>
    </row>
    <row r="205" spans="2:31" ht="15">
      <c r="B205" s="11"/>
      <c r="C205" s="11"/>
      <c r="M205" s="245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1"/>
    </row>
    <row r="206" spans="2:31" ht="15">
      <c r="B206" s="11"/>
      <c r="C206" s="11"/>
      <c r="M206" s="245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1"/>
    </row>
    <row r="207" spans="2:31" ht="15">
      <c r="B207" s="11"/>
      <c r="C207" s="11"/>
      <c r="M207" s="245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1"/>
    </row>
    <row r="208" spans="2:31" ht="15">
      <c r="B208" s="11"/>
      <c r="C208" s="11"/>
      <c r="M208" s="245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1"/>
    </row>
    <row r="209" spans="2:31" ht="15">
      <c r="B209" s="11"/>
      <c r="C209" s="11"/>
      <c r="M209" s="245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1"/>
    </row>
    <row r="210" spans="2:31" ht="15">
      <c r="B210" s="11"/>
      <c r="C210" s="11"/>
      <c r="M210" s="245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1"/>
    </row>
    <row r="211" spans="2:31" ht="15">
      <c r="B211" s="11"/>
      <c r="C211" s="11"/>
      <c r="M211" s="245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1"/>
    </row>
    <row r="212" spans="2:31" ht="15">
      <c r="B212" s="11"/>
      <c r="C212" s="11"/>
      <c r="M212" s="245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1"/>
    </row>
    <row r="213" spans="2:31" ht="15">
      <c r="B213" s="11"/>
      <c r="C213" s="11"/>
      <c r="M213" s="245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1"/>
    </row>
    <row r="214" spans="2:31" ht="15">
      <c r="B214" s="11"/>
      <c r="C214" s="11"/>
      <c r="M214" s="245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1"/>
    </row>
    <row r="215" spans="2:31" ht="15">
      <c r="B215" s="11"/>
      <c r="C215" s="11"/>
      <c r="M215" s="245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1"/>
    </row>
    <row r="216" spans="2:31" ht="15">
      <c r="B216" s="11"/>
      <c r="C216" s="11"/>
      <c r="M216" s="245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1"/>
    </row>
    <row r="217" spans="2:31" ht="15">
      <c r="B217" s="11"/>
      <c r="C217" s="11"/>
      <c r="M217" s="245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1"/>
    </row>
    <row r="218" spans="2:31" ht="15">
      <c r="B218" s="11"/>
      <c r="C218" s="11"/>
      <c r="M218" s="245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1"/>
    </row>
    <row r="219" spans="2:31" ht="15">
      <c r="B219" s="11"/>
      <c r="C219" s="11"/>
      <c r="M219" s="245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1"/>
    </row>
    <row r="220" spans="2:31" ht="15">
      <c r="B220" s="11"/>
      <c r="C220" s="11"/>
      <c r="M220" s="245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1"/>
    </row>
    <row r="221" spans="2:31" ht="15">
      <c r="B221" s="11"/>
      <c r="C221" s="11"/>
      <c r="M221" s="245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1"/>
    </row>
    <row r="222" spans="2:31" ht="15">
      <c r="B222" s="11"/>
      <c r="C222" s="11"/>
      <c r="M222" s="245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1"/>
    </row>
    <row r="223" spans="2:31" ht="15">
      <c r="B223" s="11"/>
      <c r="C223" s="11"/>
      <c r="M223" s="245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1"/>
    </row>
    <row r="224" spans="2:31" ht="15">
      <c r="B224" s="11"/>
      <c r="C224" s="11"/>
      <c r="M224" s="245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1"/>
    </row>
    <row r="225" spans="2:31" ht="15">
      <c r="B225" s="11"/>
      <c r="C225" s="11"/>
      <c r="M225" s="245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1"/>
    </row>
    <row r="226" spans="2:31" ht="15">
      <c r="B226" s="11"/>
      <c r="C226" s="11"/>
      <c r="M226" s="245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1"/>
    </row>
    <row r="227" spans="2:31" ht="15">
      <c r="B227" s="11"/>
      <c r="C227" s="11"/>
      <c r="M227" s="245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1"/>
    </row>
    <row r="228" spans="2:31" ht="15">
      <c r="B228" s="11"/>
      <c r="C228" s="11"/>
      <c r="M228" s="245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1"/>
    </row>
    <row r="229" spans="2:31" ht="15">
      <c r="B229" s="11"/>
      <c r="C229" s="11"/>
      <c r="M229" s="245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1"/>
    </row>
    <row r="230" spans="2:31" ht="15">
      <c r="B230" s="11"/>
      <c r="C230" s="11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1"/>
    </row>
    <row r="231" spans="2:31" ht="15">
      <c r="B231" s="11"/>
      <c r="C231" s="11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1"/>
    </row>
    <row r="232" spans="2:31" ht="15">
      <c r="B232" s="11"/>
      <c r="C232" s="11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1"/>
    </row>
    <row r="233" spans="2:31" ht="15">
      <c r="B233" s="11"/>
      <c r="C233" s="11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1"/>
    </row>
    <row r="234" spans="2:31" ht="15">
      <c r="B234" s="11"/>
      <c r="C234" s="11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1"/>
    </row>
    <row r="235" spans="2:31" ht="15">
      <c r="B235" s="11"/>
      <c r="C235" s="11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1"/>
    </row>
    <row r="236" spans="2:31" ht="15">
      <c r="B236" s="11"/>
      <c r="C236" s="11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1"/>
    </row>
    <row r="237" spans="2:31" ht="15">
      <c r="B237" s="11"/>
      <c r="C237" s="11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1"/>
    </row>
    <row r="238" spans="2:31" ht="15">
      <c r="B238" s="11"/>
      <c r="C238" s="11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1"/>
    </row>
    <row r="239" spans="2:31" ht="15">
      <c r="B239" s="11"/>
      <c r="C239" s="11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1"/>
    </row>
    <row r="240" spans="2:31" ht="15">
      <c r="B240" s="11"/>
      <c r="C240" s="11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1"/>
    </row>
    <row r="241" spans="2:31" ht="15">
      <c r="B241" s="11"/>
      <c r="C241" s="11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1"/>
    </row>
    <row r="242" spans="2:31" ht="15">
      <c r="B242" s="11"/>
      <c r="C242" s="11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1"/>
    </row>
    <row r="243" spans="2:31" ht="15">
      <c r="B243" s="11"/>
      <c r="C243" s="11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1"/>
    </row>
    <row r="244" spans="2:31" ht="15">
      <c r="B244" s="11"/>
      <c r="C244" s="11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1"/>
    </row>
    <row r="245" spans="2:31" ht="15">
      <c r="B245" s="11"/>
      <c r="C245" s="11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1"/>
    </row>
    <row r="246" spans="2:31" ht="15">
      <c r="B246" s="11"/>
      <c r="C246" s="11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1"/>
    </row>
    <row r="247" spans="2:31" ht="15">
      <c r="B247" s="11"/>
      <c r="C247" s="11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1"/>
    </row>
    <row r="248" spans="2:31" ht="15">
      <c r="B248" s="11"/>
      <c r="C248" s="11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1"/>
    </row>
    <row r="249" spans="2:31" ht="15">
      <c r="B249" s="11"/>
      <c r="C249" s="11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1"/>
    </row>
    <row r="250" spans="2:31" ht="15">
      <c r="B250" s="11"/>
      <c r="C250" s="11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1"/>
    </row>
    <row r="251" spans="2:31" ht="15">
      <c r="B251" s="11"/>
      <c r="C251" s="11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1"/>
    </row>
    <row r="252" spans="2:31" ht="15">
      <c r="B252" s="11"/>
      <c r="C252" s="11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1"/>
    </row>
    <row r="253" spans="2:31" ht="15">
      <c r="B253" s="11"/>
      <c r="C253" s="11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1"/>
    </row>
    <row r="254" spans="2:31" ht="15">
      <c r="B254" s="11"/>
      <c r="C254" s="11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1"/>
    </row>
    <row r="255" spans="2:31" ht="15">
      <c r="B255" s="11"/>
      <c r="C255" s="11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1"/>
    </row>
    <row r="256" spans="2:31" ht="15">
      <c r="B256" s="11"/>
      <c r="C256" s="11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1"/>
    </row>
    <row r="257" spans="2:31" ht="15">
      <c r="B257" s="11"/>
      <c r="C257" s="11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1"/>
    </row>
    <row r="258" spans="2:31" ht="15">
      <c r="B258" s="11"/>
      <c r="C258" s="11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1"/>
    </row>
    <row r="259" spans="2:31" ht="15">
      <c r="B259" s="11"/>
      <c r="C259" s="11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1"/>
    </row>
    <row r="260" spans="2:31" ht="15">
      <c r="B260" s="11"/>
      <c r="C260" s="11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1"/>
    </row>
    <row r="261" spans="2:31" ht="15">
      <c r="B261" s="11"/>
      <c r="C261" s="11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1"/>
    </row>
    <row r="262" spans="2:31" ht="15">
      <c r="B262" s="11"/>
      <c r="C262" s="11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1"/>
    </row>
    <row r="263" spans="2:31" ht="15">
      <c r="B263" s="11"/>
      <c r="C263" s="11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1"/>
    </row>
    <row r="264" spans="2:31" ht="15">
      <c r="B264" s="11"/>
      <c r="C264" s="11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1"/>
    </row>
    <row r="265" spans="2:31" ht="15">
      <c r="B265" s="11"/>
      <c r="C265" s="11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1"/>
    </row>
    <row r="266" spans="2:31" ht="15">
      <c r="B266" s="11"/>
      <c r="C266" s="11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1"/>
    </row>
    <row r="267" spans="2:31" ht="15">
      <c r="B267" s="11"/>
      <c r="C267" s="11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1"/>
    </row>
    <row r="268" spans="2:31" ht="15">
      <c r="B268" s="11"/>
      <c r="C268" s="11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1"/>
    </row>
    <row r="269" spans="2:31" ht="15">
      <c r="B269" s="11"/>
      <c r="C269" s="11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1"/>
    </row>
    <row r="270" spans="2:31" ht="15">
      <c r="B270" s="11"/>
      <c r="C270" s="11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1"/>
    </row>
    <row r="271" spans="2:31" ht="15">
      <c r="B271" s="11"/>
      <c r="C271" s="11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1"/>
    </row>
    <row r="272" spans="2:31" ht="15">
      <c r="B272" s="11"/>
      <c r="C272" s="11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1"/>
    </row>
    <row r="273" spans="2:31" ht="15">
      <c r="B273" s="11"/>
      <c r="C273" s="11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1"/>
    </row>
    <row r="274" spans="2:31" ht="15">
      <c r="B274" s="11"/>
      <c r="C274" s="11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1"/>
    </row>
    <row r="275" spans="2:31" ht="15">
      <c r="B275" s="11"/>
      <c r="C275" s="11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1"/>
    </row>
    <row r="276" spans="2:31" ht="15">
      <c r="B276" s="11"/>
      <c r="C276" s="11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1"/>
    </row>
    <row r="277" spans="2:31" ht="15">
      <c r="B277" s="11"/>
      <c r="C277" s="11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1"/>
    </row>
    <row r="278" spans="2:31" ht="15">
      <c r="B278" s="11"/>
      <c r="C278" s="11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1"/>
    </row>
    <row r="279" spans="2:31" ht="15">
      <c r="B279" s="11"/>
      <c r="C279" s="11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1"/>
    </row>
    <row r="280" spans="2:31" ht="15">
      <c r="B280" s="11"/>
      <c r="C280" s="11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1"/>
    </row>
    <row r="281" spans="2:31" ht="15">
      <c r="B281" s="11"/>
      <c r="C281" s="11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1"/>
    </row>
    <row r="282" spans="2:31" ht="15">
      <c r="B282" s="11"/>
      <c r="C282" s="11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1"/>
    </row>
    <row r="283" spans="2:31" ht="15">
      <c r="B283" s="11"/>
      <c r="C283" s="11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1"/>
    </row>
    <row r="284" spans="2:31" ht="15">
      <c r="B284" s="11"/>
      <c r="C284" s="11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1"/>
    </row>
    <row r="285" spans="2:31" ht="15">
      <c r="B285" s="11"/>
      <c r="C285" s="11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1"/>
    </row>
    <row r="286" spans="2:31" ht="15">
      <c r="B286" s="11"/>
      <c r="C286" s="11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1"/>
    </row>
    <row r="287" spans="2:31" ht="15">
      <c r="B287" s="11"/>
      <c r="C287" s="11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1"/>
    </row>
    <row r="288" spans="2:31" ht="15">
      <c r="B288" s="11"/>
      <c r="C288" s="11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1"/>
    </row>
    <row r="289" spans="2:31" ht="15">
      <c r="B289" s="11"/>
      <c r="C289" s="11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1"/>
    </row>
    <row r="290" spans="2:31" ht="15">
      <c r="B290" s="11"/>
      <c r="C290" s="11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1"/>
    </row>
    <row r="291" spans="2:31" ht="15">
      <c r="B291" s="11"/>
      <c r="C291" s="11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1"/>
    </row>
    <row r="292" spans="2:31" ht="15">
      <c r="B292" s="11"/>
      <c r="C292" s="11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1"/>
    </row>
    <row r="293" spans="2:31" ht="15">
      <c r="B293" s="11"/>
      <c r="C293" s="11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1"/>
    </row>
    <row r="294" spans="2:31" ht="15">
      <c r="B294" s="11"/>
      <c r="C294" s="11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1"/>
    </row>
    <row r="295" spans="2:31" ht="15">
      <c r="B295" s="11"/>
      <c r="C295" s="11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1"/>
    </row>
    <row r="296" spans="2:31" ht="15">
      <c r="B296" s="11"/>
      <c r="C296" s="11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1"/>
    </row>
    <row r="297" spans="2:31" ht="15">
      <c r="B297" s="11"/>
      <c r="C297" s="11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1"/>
    </row>
    <row r="298" spans="2:31" ht="15">
      <c r="B298" s="11"/>
      <c r="C298" s="11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1"/>
    </row>
    <row r="299" spans="2:31" ht="15">
      <c r="B299" s="11"/>
      <c r="C299" s="11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1"/>
    </row>
    <row r="300" spans="2:31" ht="15">
      <c r="B300" s="11"/>
      <c r="C300" s="11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1"/>
    </row>
    <row r="301" spans="2:31" ht="15">
      <c r="B301" s="11"/>
      <c r="C301" s="11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1"/>
    </row>
    <row r="302" spans="2:31" ht="15">
      <c r="B302" s="11"/>
      <c r="C302" s="11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1"/>
    </row>
    <row r="303" spans="2:31" ht="15">
      <c r="B303" s="11"/>
      <c r="C303" s="11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1"/>
    </row>
    <row r="304" spans="2:31" ht="15">
      <c r="B304" s="11"/>
      <c r="C304" s="11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1"/>
    </row>
    <row r="305" spans="2:31" ht="15">
      <c r="B305" s="11"/>
      <c r="C305" s="11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1"/>
    </row>
    <row r="306" spans="2:31" ht="15">
      <c r="B306" s="11"/>
      <c r="C306" s="11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1"/>
    </row>
    <row r="307" spans="2:31" ht="15">
      <c r="B307" s="11"/>
      <c r="C307" s="11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1"/>
    </row>
    <row r="308" spans="2:31" ht="15">
      <c r="B308" s="11"/>
      <c r="C308" s="11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1"/>
    </row>
    <row r="309" spans="2:31" ht="15">
      <c r="B309" s="11"/>
      <c r="C309" s="11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1"/>
    </row>
    <row r="310" spans="2:31" ht="15">
      <c r="B310" s="11"/>
      <c r="C310" s="11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1"/>
    </row>
    <row r="311" spans="2:31" ht="15">
      <c r="B311" s="11"/>
      <c r="C311" s="11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1"/>
    </row>
    <row r="312" spans="2:31" ht="15">
      <c r="B312" s="11"/>
      <c r="C312" s="11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1"/>
    </row>
    <row r="313" spans="2:31" ht="15">
      <c r="B313" s="11"/>
      <c r="C313" s="11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1"/>
    </row>
    <row r="314" spans="2:31" ht="15">
      <c r="B314" s="11"/>
      <c r="C314" s="11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1"/>
    </row>
    <row r="315" spans="2:31" ht="15">
      <c r="B315" s="11"/>
      <c r="C315" s="11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1"/>
    </row>
    <row r="316" spans="2:31" ht="15">
      <c r="B316" s="11"/>
      <c r="C316" s="11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1"/>
    </row>
    <row r="317" spans="2:31" ht="15">
      <c r="B317" s="11"/>
      <c r="C317" s="11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1"/>
    </row>
    <row r="318" spans="2:31" ht="15">
      <c r="B318" s="11"/>
      <c r="C318" s="11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1"/>
    </row>
    <row r="319" spans="2:31" ht="15">
      <c r="B319" s="11"/>
      <c r="C319" s="11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1"/>
    </row>
    <row r="320" spans="2:31" ht="15">
      <c r="B320" s="11"/>
      <c r="C320" s="11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1"/>
    </row>
    <row r="321" spans="2:31" ht="15">
      <c r="B321" s="11"/>
      <c r="C321" s="11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1"/>
    </row>
    <row r="322" spans="2:31" ht="15">
      <c r="B322" s="11"/>
      <c r="C322" s="11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1"/>
    </row>
    <row r="323" spans="2:31" ht="15">
      <c r="B323" s="11"/>
      <c r="C323" s="11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1"/>
    </row>
    <row r="324" spans="2:31" ht="15">
      <c r="B324" s="11"/>
      <c r="C324" s="11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1"/>
    </row>
    <row r="325" spans="2:31" ht="15">
      <c r="B325" s="11"/>
      <c r="C325" s="11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1"/>
    </row>
    <row r="326" spans="2:31" ht="15">
      <c r="B326" s="11"/>
      <c r="C326" s="11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1"/>
    </row>
    <row r="327" spans="2:31" ht="15">
      <c r="B327" s="11"/>
      <c r="C327" s="11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1"/>
    </row>
    <row r="328" spans="2:31" ht="15">
      <c r="B328" s="11"/>
      <c r="C328" s="11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1"/>
    </row>
    <row r="329" spans="2:31" ht="15">
      <c r="B329" s="11"/>
      <c r="C329" s="11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1"/>
    </row>
    <row r="330" spans="2:31" ht="15">
      <c r="B330" s="11"/>
      <c r="C330" s="11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1"/>
    </row>
    <row r="331" spans="2:31" ht="15">
      <c r="B331" s="11"/>
      <c r="C331" s="11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1"/>
    </row>
    <row r="332" spans="2:31" ht="15">
      <c r="B332" s="11"/>
      <c r="C332" s="11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1"/>
    </row>
    <row r="333" spans="2:31" ht="15">
      <c r="B333" s="11"/>
      <c r="C333" s="11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1"/>
    </row>
    <row r="334" spans="2:31" ht="15">
      <c r="B334" s="11"/>
      <c r="C334" s="11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1"/>
    </row>
    <row r="335" spans="2:31" ht="15">
      <c r="B335" s="11"/>
      <c r="C335" s="11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1"/>
    </row>
    <row r="336" spans="2:31" ht="15">
      <c r="B336" s="11"/>
      <c r="C336" s="11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1"/>
    </row>
    <row r="337" spans="2:31" ht="15">
      <c r="B337" s="11"/>
      <c r="C337" s="11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1"/>
    </row>
    <row r="338" spans="2:31" ht="15">
      <c r="B338" s="11"/>
      <c r="C338" s="11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1"/>
    </row>
    <row r="339" spans="2:31" ht="15">
      <c r="B339" s="11"/>
      <c r="C339" s="11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1"/>
    </row>
    <row r="340" spans="2:31" ht="15">
      <c r="B340" s="11"/>
      <c r="C340" s="11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1"/>
    </row>
    <row r="341" spans="2:31" ht="15">
      <c r="B341" s="11"/>
      <c r="C341" s="11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1"/>
    </row>
    <row r="342" spans="2:31" ht="15">
      <c r="B342" s="11"/>
      <c r="C342" s="11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1"/>
    </row>
    <row r="343" spans="2:31" ht="15">
      <c r="B343" s="11"/>
      <c r="C343" s="11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1"/>
    </row>
    <row r="344" spans="2:31" ht="15">
      <c r="B344" s="11"/>
      <c r="C344" s="11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1"/>
    </row>
    <row r="345" spans="2:31" ht="15">
      <c r="B345" s="11"/>
      <c r="C345" s="11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1"/>
    </row>
    <row r="346" spans="2:31" ht="15">
      <c r="B346" s="11"/>
      <c r="C346" s="11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1"/>
    </row>
    <row r="347" spans="2:31" ht="15">
      <c r="B347" s="11"/>
      <c r="C347" s="11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1"/>
    </row>
    <row r="348" spans="2:31" ht="15">
      <c r="B348" s="11"/>
      <c r="C348" s="11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1"/>
    </row>
    <row r="349" spans="2:31" ht="15">
      <c r="B349" s="11"/>
      <c r="C349" s="11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1"/>
    </row>
    <row r="350" spans="2:31" ht="15">
      <c r="B350" s="11"/>
      <c r="C350" s="11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1"/>
    </row>
    <row r="351" spans="2:31" ht="15">
      <c r="B351" s="11"/>
      <c r="C351" s="11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1"/>
    </row>
    <row r="352" spans="2:31" ht="15">
      <c r="B352" s="11"/>
      <c r="C352" s="11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1"/>
    </row>
    <row r="353" spans="2:31" ht="15">
      <c r="B353" s="11"/>
      <c r="C353" s="11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1"/>
    </row>
    <row r="354" spans="2:31" ht="15">
      <c r="B354" s="11"/>
      <c r="C354" s="11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1"/>
    </row>
    <row r="355" spans="2:31" ht="15">
      <c r="B355" s="11"/>
      <c r="C355" s="11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1"/>
    </row>
    <row r="356" spans="2:31" ht="15">
      <c r="B356" s="11"/>
      <c r="C356" s="11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1"/>
    </row>
    <row r="357" spans="2:31" ht="15">
      <c r="B357" s="11"/>
      <c r="C357" s="11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1"/>
    </row>
    <row r="358" spans="2:31" ht="15">
      <c r="B358" s="11"/>
      <c r="C358" s="11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1"/>
    </row>
    <row r="359" spans="2:31" ht="15">
      <c r="B359" s="11"/>
      <c r="C359" s="11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1"/>
    </row>
    <row r="360" spans="2:31" ht="15">
      <c r="B360" s="11"/>
      <c r="C360" s="11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1"/>
    </row>
    <row r="361" spans="2:31" ht="15">
      <c r="B361" s="11"/>
      <c r="C361" s="11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1"/>
    </row>
    <row r="362" spans="2:31" ht="15">
      <c r="B362" s="11"/>
      <c r="C362" s="11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1"/>
    </row>
    <row r="363" spans="2:31" ht="15">
      <c r="B363" s="11"/>
      <c r="C363" s="11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1"/>
    </row>
    <row r="364" spans="2:31" ht="15">
      <c r="B364" s="11"/>
      <c r="C364" s="11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1"/>
    </row>
    <row r="365" spans="2:31" ht="15">
      <c r="B365" s="11"/>
      <c r="C365" s="11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1"/>
    </row>
    <row r="366" spans="2:31" ht="15">
      <c r="B366" s="11"/>
      <c r="C366" s="11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1"/>
    </row>
    <row r="367" spans="2:31" ht="15">
      <c r="B367" s="11"/>
      <c r="C367" s="11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1"/>
    </row>
    <row r="368" spans="2:31" ht="15">
      <c r="B368" s="11"/>
      <c r="C368" s="11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1"/>
    </row>
    <row r="369" spans="2:31" ht="15">
      <c r="B369" s="11"/>
      <c r="C369" s="11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1"/>
    </row>
    <row r="370" spans="2:31" ht="15">
      <c r="B370" s="11"/>
      <c r="C370" s="11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1"/>
    </row>
    <row r="371" spans="2:31" ht="15">
      <c r="B371" s="11"/>
      <c r="C371" s="11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1"/>
    </row>
    <row r="372" spans="2:31" ht="15">
      <c r="B372" s="11"/>
      <c r="C372" s="11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1"/>
    </row>
    <row r="373" spans="2:31" ht="15">
      <c r="B373" s="11"/>
      <c r="C373" s="11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1"/>
    </row>
    <row r="374" spans="2:31" ht="15">
      <c r="B374" s="11"/>
      <c r="C374" s="11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1"/>
    </row>
    <row r="375" spans="2:31" ht="15">
      <c r="B375" s="11"/>
      <c r="C375" s="11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1"/>
    </row>
    <row r="376" spans="2:31" ht="15">
      <c r="B376" s="11"/>
      <c r="C376" s="11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1"/>
    </row>
    <row r="377" spans="2:31" ht="15">
      <c r="B377" s="11"/>
      <c r="C377" s="11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1"/>
    </row>
    <row r="378" spans="2:31" ht="15">
      <c r="B378" s="11"/>
      <c r="C378" s="11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1"/>
    </row>
    <row r="379" spans="2:31" ht="15">
      <c r="B379" s="11"/>
      <c r="C379" s="11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1"/>
    </row>
    <row r="380" spans="2:31" ht="15">
      <c r="B380" s="11"/>
      <c r="C380" s="11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1"/>
    </row>
    <row r="381" spans="2:31" ht="15">
      <c r="B381" s="11"/>
      <c r="C381" s="11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1"/>
    </row>
    <row r="382" spans="2:31" ht="15">
      <c r="B382" s="11"/>
      <c r="C382" s="11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1"/>
    </row>
    <row r="383" spans="2:31" ht="15">
      <c r="B383" s="11"/>
      <c r="C383" s="11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1"/>
    </row>
    <row r="384" spans="2:31" ht="15">
      <c r="B384" s="11"/>
      <c r="C384" s="11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1"/>
    </row>
    <row r="385" spans="2:31" ht="15">
      <c r="B385" s="11"/>
      <c r="C385" s="11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1"/>
    </row>
    <row r="386" spans="2:31" ht="15">
      <c r="B386" s="11"/>
      <c r="C386" s="11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1"/>
    </row>
    <row r="387" spans="2:31" ht="15">
      <c r="B387" s="11"/>
      <c r="C387" s="11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1"/>
    </row>
    <row r="388" spans="2:31" ht="15">
      <c r="B388" s="11"/>
      <c r="C388" s="11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1"/>
    </row>
    <row r="389" spans="2:31" ht="15">
      <c r="B389" s="11"/>
      <c r="C389" s="11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1"/>
    </row>
    <row r="390" spans="2:31" ht="15">
      <c r="B390" s="11"/>
      <c r="C390" s="11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1"/>
    </row>
    <row r="391" spans="2:31" ht="15">
      <c r="B391" s="11"/>
      <c r="C391" s="11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1"/>
    </row>
    <row r="392" spans="2:31" ht="15">
      <c r="B392" s="11"/>
      <c r="C392" s="11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1"/>
    </row>
    <row r="393" spans="2:31" ht="15">
      <c r="B393" s="11"/>
      <c r="C393" s="11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1"/>
    </row>
    <row r="394" spans="2:31" ht="15">
      <c r="B394" s="11"/>
      <c r="C394" s="11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1"/>
    </row>
    <row r="395" spans="2:31" ht="15">
      <c r="B395" s="11"/>
      <c r="C395" s="11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1"/>
    </row>
    <row r="396" spans="2:31" ht="15">
      <c r="B396" s="11"/>
      <c r="C396" s="11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1"/>
    </row>
    <row r="397" spans="2:31" ht="15">
      <c r="B397" s="11"/>
      <c r="C397" s="11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1"/>
    </row>
    <row r="398" spans="2:31" ht="15">
      <c r="B398" s="11"/>
      <c r="C398" s="11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1"/>
    </row>
    <row r="399" spans="2:31" ht="15">
      <c r="B399" s="11"/>
      <c r="C399" s="11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1"/>
    </row>
    <row r="400" spans="2:31" ht="15">
      <c r="B400" s="11"/>
      <c r="C400" s="11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1"/>
    </row>
    <row r="401" spans="2:31" ht="15">
      <c r="B401" s="11"/>
      <c r="C401" s="11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1"/>
    </row>
    <row r="402" spans="2:31" ht="15">
      <c r="B402" s="11"/>
      <c r="C402" s="11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1"/>
    </row>
    <row r="403" spans="2:31" ht="15">
      <c r="B403" s="11"/>
      <c r="C403" s="11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1"/>
    </row>
    <row r="404" spans="2:31" ht="15">
      <c r="B404" s="11"/>
      <c r="C404" s="11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1"/>
    </row>
    <row r="405" spans="2:31" ht="15">
      <c r="B405" s="11"/>
      <c r="C405" s="11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1"/>
    </row>
    <row r="406" spans="2:31" ht="15">
      <c r="B406" s="11"/>
      <c r="C406" s="11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1"/>
    </row>
    <row r="407" spans="2:31" ht="15">
      <c r="B407" s="11"/>
      <c r="C407" s="11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1"/>
    </row>
    <row r="408" spans="2:31" ht="15">
      <c r="B408" s="11"/>
      <c r="C408" s="11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1"/>
    </row>
    <row r="409" spans="2:31" ht="15">
      <c r="B409" s="11"/>
      <c r="C409" s="11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1"/>
    </row>
    <row r="410" spans="2:31" ht="15">
      <c r="B410" s="11"/>
      <c r="C410" s="11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1"/>
    </row>
    <row r="411" spans="2:31" ht="15">
      <c r="B411" s="11"/>
      <c r="C411" s="11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1"/>
    </row>
    <row r="412" spans="2:31" ht="15">
      <c r="B412" s="11"/>
      <c r="C412" s="11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1"/>
    </row>
    <row r="413" spans="2:31" ht="15">
      <c r="B413" s="11"/>
      <c r="C413" s="11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1"/>
    </row>
    <row r="414" spans="2:31" ht="15">
      <c r="B414" s="11"/>
      <c r="C414" s="11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1"/>
    </row>
    <row r="415" spans="2:31" ht="15">
      <c r="B415" s="11"/>
      <c r="C415" s="11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1"/>
    </row>
    <row r="416" spans="2:31" ht="15">
      <c r="B416" s="11"/>
      <c r="C416" s="11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1"/>
    </row>
    <row r="417" spans="2:31" ht="15">
      <c r="B417" s="11"/>
      <c r="C417" s="11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1"/>
    </row>
    <row r="418" spans="2:31" ht="15">
      <c r="B418" s="11"/>
      <c r="C418" s="11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1"/>
    </row>
    <row r="419" spans="2:31" ht="15">
      <c r="B419" s="11"/>
      <c r="C419" s="11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1"/>
    </row>
    <row r="420" spans="2:31" ht="15">
      <c r="B420" s="11"/>
      <c r="C420" s="11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1"/>
    </row>
    <row r="421" spans="2:31" ht="15">
      <c r="B421" s="11"/>
      <c r="C421" s="11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1"/>
    </row>
    <row r="422" spans="2:31" ht="15">
      <c r="B422" s="11"/>
      <c r="C422" s="11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1"/>
    </row>
    <row r="423" spans="2:31" ht="15">
      <c r="B423" s="11"/>
      <c r="C423" s="11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1"/>
    </row>
    <row r="424" spans="2:31" ht="15">
      <c r="B424" s="11"/>
      <c r="C424" s="11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1"/>
    </row>
    <row r="425" spans="2:31" ht="15">
      <c r="B425" s="11"/>
      <c r="C425" s="11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1"/>
    </row>
    <row r="426" spans="2:31" ht="15">
      <c r="B426" s="11"/>
      <c r="C426" s="11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1"/>
    </row>
    <row r="427" spans="2:31" ht="15">
      <c r="B427" s="11"/>
      <c r="C427" s="11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1"/>
    </row>
    <row r="428" spans="2:31" ht="15">
      <c r="B428" s="11"/>
      <c r="C428" s="11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1"/>
    </row>
    <row r="429" spans="2:31" ht="15">
      <c r="B429" s="11"/>
      <c r="C429" s="11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1"/>
    </row>
    <row r="430" spans="2:31" ht="15">
      <c r="B430" s="11"/>
      <c r="C430" s="11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1"/>
    </row>
    <row r="431" spans="2:31" ht="15">
      <c r="B431" s="11"/>
      <c r="C431" s="11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1"/>
    </row>
    <row r="432" spans="2:31" ht="15">
      <c r="B432" s="11"/>
      <c r="C432" s="11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1"/>
    </row>
    <row r="433" spans="2:31" ht="15">
      <c r="B433" s="11"/>
      <c r="C433" s="11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1"/>
    </row>
    <row r="434" spans="2:31" ht="15">
      <c r="B434" s="11"/>
      <c r="C434" s="11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1"/>
    </row>
    <row r="435" spans="2:31" ht="15">
      <c r="B435" s="11"/>
      <c r="C435" s="11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1"/>
    </row>
    <row r="436" spans="2:31" ht="15">
      <c r="B436" s="11"/>
      <c r="C436" s="11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1"/>
    </row>
    <row r="437" spans="2:31" ht="15">
      <c r="B437" s="11"/>
      <c r="C437" s="11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1"/>
    </row>
    <row r="438" spans="2:31" ht="15">
      <c r="B438" s="11"/>
      <c r="C438" s="11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1"/>
    </row>
    <row r="439" spans="2:31" ht="15">
      <c r="B439" s="11"/>
      <c r="C439" s="11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1"/>
    </row>
    <row r="440" spans="2:31" ht="15">
      <c r="B440" s="11"/>
      <c r="C440" s="11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1"/>
    </row>
    <row r="441" spans="2:31" ht="15">
      <c r="B441" s="11"/>
      <c r="C441" s="11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1"/>
    </row>
    <row r="442" spans="2:31" ht="15">
      <c r="B442" s="11"/>
      <c r="C442" s="11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1"/>
    </row>
    <row r="443" spans="2:31" ht="15">
      <c r="B443" s="11"/>
      <c r="C443" s="11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1"/>
    </row>
    <row r="444" spans="2:31" ht="15">
      <c r="B444" s="11"/>
      <c r="C444" s="11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1"/>
    </row>
    <row r="445" spans="2:31" ht="15">
      <c r="B445" s="11"/>
      <c r="C445" s="11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1"/>
    </row>
    <row r="446" spans="2:31" ht="15">
      <c r="B446" s="11"/>
      <c r="C446" s="11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1"/>
    </row>
    <row r="447" spans="2:31" ht="15">
      <c r="B447" s="11"/>
      <c r="C447" s="11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1"/>
    </row>
    <row r="448" spans="2:31" ht="15">
      <c r="B448" s="11"/>
      <c r="C448" s="11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1"/>
    </row>
    <row r="449" spans="2:31" ht="15">
      <c r="B449" s="11"/>
      <c r="C449" s="11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1"/>
    </row>
    <row r="450" spans="2:31" ht="15">
      <c r="B450" s="11"/>
      <c r="C450" s="11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1"/>
    </row>
    <row r="451" spans="2:31" ht="15">
      <c r="B451" s="11"/>
      <c r="C451" s="11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1"/>
    </row>
    <row r="452" spans="2:31" ht="15">
      <c r="B452" s="11"/>
      <c r="C452" s="11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1"/>
    </row>
    <row r="453" spans="2:31" ht="15">
      <c r="B453" s="11"/>
      <c r="C453" s="11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1"/>
    </row>
    <row r="454" spans="2:31" ht="15">
      <c r="B454" s="11"/>
      <c r="C454" s="11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1"/>
    </row>
    <row r="455" spans="2:31" ht="15">
      <c r="B455" s="11"/>
      <c r="C455" s="11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1"/>
    </row>
    <row r="456" spans="2:31" ht="15">
      <c r="B456" s="11"/>
      <c r="C456" s="11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1"/>
    </row>
    <row r="457" spans="2:31" ht="15">
      <c r="B457" s="11"/>
      <c r="C457" s="11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1"/>
    </row>
    <row r="458" spans="2:31" ht="15">
      <c r="B458" s="11"/>
      <c r="C458" s="11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1"/>
    </row>
    <row r="459" spans="2:31" ht="15">
      <c r="B459" s="11"/>
      <c r="C459" s="11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1"/>
    </row>
    <row r="460" spans="2:31" ht="15">
      <c r="B460" s="11"/>
      <c r="C460" s="11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1"/>
    </row>
    <row r="461" spans="2:31" ht="15">
      <c r="B461" s="11"/>
      <c r="C461" s="11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1"/>
    </row>
    <row r="462" spans="2:31" ht="15">
      <c r="B462" s="11"/>
      <c r="C462" s="11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1"/>
    </row>
    <row r="463" spans="2:31" ht="15">
      <c r="B463" s="11"/>
      <c r="C463" s="11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1"/>
    </row>
    <row r="464" spans="2:31" ht="15">
      <c r="B464" s="11"/>
      <c r="C464" s="11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1"/>
    </row>
    <row r="465" spans="2:31" ht="15">
      <c r="B465" s="11"/>
      <c r="C465" s="11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1"/>
    </row>
    <row r="466" spans="2:31" ht="15">
      <c r="B466" s="11"/>
      <c r="C466" s="11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1"/>
    </row>
    <row r="467" spans="2:31" ht="15">
      <c r="B467" s="11"/>
      <c r="C467" s="11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1"/>
    </row>
    <row r="468" spans="2:31" ht="15">
      <c r="B468" s="11"/>
      <c r="C468" s="11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1"/>
    </row>
    <row r="469" spans="2:31" ht="15">
      <c r="B469" s="11"/>
      <c r="C469" s="11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1"/>
    </row>
    <row r="470" spans="2:31" ht="15">
      <c r="B470" s="11"/>
      <c r="C470" s="11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1"/>
    </row>
    <row r="471" spans="2:31" ht="15">
      <c r="B471" s="11"/>
      <c r="C471" s="11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1"/>
    </row>
    <row r="472" spans="2:31" ht="15">
      <c r="B472" s="11"/>
      <c r="C472" s="11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1"/>
    </row>
    <row r="473" spans="2:31" ht="15">
      <c r="B473" s="11"/>
      <c r="C473" s="11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1"/>
    </row>
    <row r="474" spans="2:31" ht="15">
      <c r="B474" s="11"/>
      <c r="C474" s="11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1"/>
    </row>
    <row r="475" spans="2:31" ht="15">
      <c r="B475" s="11"/>
      <c r="C475" s="11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1"/>
    </row>
    <row r="476" spans="2:31" ht="15">
      <c r="B476" s="11"/>
      <c r="C476" s="11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1"/>
    </row>
    <row r="477" spans="2:31" ht="15">
      <c r="B477" s="11"/>
      <c r="C477" s="11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1"/>
    </row>
    <row r="478" spans="2:31" ht="15">
      <c r="B478" s="11"/>
      <c r="C478" s="11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1"/>
    </row>
    <row r="479" spans="2:31" ht="15">
      <c r="B479" s="11"/>
      <c r="C479" s="11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1"/>
    </row>
    <row r="480" spans="2:31" ht="15">
      <c r="B480" s="11"/>
      <c r="C480" s="11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1"/>
    </row>
    <row r="481" spans="2:31" ht="15">
      <c r="B481" s="11"/>
      <c r="C481" s="11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1"/>
    </row>
    <row r="482" spans="2:31" ht="15">
      <c r="B482" s="11"/>
      <c r="C482" s="11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1"/>
    </row>
    <row r="483" spans="2:31" ht="15">
      <c r="B483" s="11"/>
      <c r="C483" s="11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1"/>
    </row>
    <row r="484" spans="2:31" ht="15">
      <c r="B484" s="11"/>
      <c r="C484" s="11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1"/>
    </row>
    <row r="485" spans="2:31" ht="15">
      <c r="B485" s="11"/>
      <c r="C485" s="11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1"/>
    </row>
    <row r="486" spans="2:31" ht="15">
      <c r="B486" s="11"/>
      <c r="C486" s="11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1"/>
    </row>
    <row r="487" spans="2:31" ht="15">
      <c r="B487" s="11"/>
      <c r="C487" s="11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1"/>
    </row>
    <row r="488" spans="2:31" ht="15">
      <c r="B488" s="11"/>
      <c r="C488" s="11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1"/>
    </row>
    <row r="489" spans="2:31" ht="15">
      <c r="B489" s="11"/>
      <c r="C489" s="11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1"/>
    </row>
    <row r="490" spans="2:31" ht="15">
      <c r="B490" s="11"/>
      <c r="C490" s="11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1"/>
    </row>
    <row r="491" spans="2:31" ht="15">
      <c r="B491" s="11"/>
      <c r="C491" s="11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1"/>
    </row>
    <row r="492" spans="2:31" ht="15">
      <c r="B492" s="11"/>
      <c r="C492" s="11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1"/>
    </row>
    <row r="493" spans="2:31" ht="15">
      <c r="B493" s="11"/>
      <c r="C493" s="11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1"/>
    </row>
    <row r="494" spans="2:31" ht="15">
      <c r="B494" s="11"/>
      <c r="C494" s="11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1"/>
    </row>
    <row r="495" spans="2:31" ht="15">
      <c r="B495" s="11"/>
      <c r="C495" s="11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1"/>
    </row>
    <row r="496" spans="2:31" ht="15">
      <c r="B496" s="11"/>
      <c r="C496" s="11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1"/>
    </row>
    <row r="497" spans="2:31" ht="15">
      <c r="B497" s="11"/>
      <c r="C497" s="11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1"/>
    </row>
    <row r="498" spans="2:31" ht="15">
      <c r="B498" s="11"/>
      <c r="C498" s="11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1"/>
    </row>
    <row r="499" spans="2:31" ht="15">
      <c r="B499" s="11"/>
      <c r="C499" s="11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1"/>
    </row>
    <row r="500" spans="2:31" ht="15">
      <c r="B500" s="11"/>
      <c r="C500" s="11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1"/>
    </row>
    <row r="501" spans="2:31" ht="15">
      <c r="B501" s="11"/>
      <c r="C501" s="11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1"/>
    </row>
    <row r="502" spans="2:31" ht="15">
      <c r="B502" s="11"/>
      <c r="C502" s="11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1"/>
    </row>
    <row r="503" spans="2:31" ht="15">
      <c r="B503" s="11"/>
      <c r="C503" s="11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1"/>
    </row>
    <row r="504" spans="2:31" ht="15">
      <c r="B504" s="11"/>
      <c r="C504" s="11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1"/>
    </row>
    <row r="505" spans="2:31" ht="15">
      <c r="B505" s="11"/>
      <c r="C505" s="11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1"/>
    </row>
    <row r="506" spans="2:31" ht="15">
      <c r="B506" s="11"/>
      <c r="C506" s="11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1"/>
    </row>
    <row r="507" spans="2:31" ht="15">
      <c r="B507" s="11"/>
      <c r="C507" s="11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1"/>
    </row>
    <row r="508" spans="2:31" ht="15">
      <c r="B508" s="11"/>
      <c r="C508" s="11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1"/>
    </row>
    <row r="509" spans="2:31" ht="15">
      <c r="B509" s="11"/>
      <c r="C509" s="11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1"/>
    </row>
    <row r="510" spans="2:31" ht="15">
      <c r="B510" s="11"/>
      <c r="C510" s="11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1"/>
    </row>
    <row r="511" spans="2:31" ht="15">
      <c r="B511" s="11"/>
      <c r="C511" s="11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1"/>
    </row>
    <row r="512" spans="2:31" ht="15">
      <c r="B512" s="11"/>
      <c r="C512" s="11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1"/>
    </row>
    <row r="513" spans="2:31" ht="15">
      <c r="B513" s="11"/>
      <c r="C513" s="11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1"/>
    </row>
    <row r="514" spans="2:31" ht="15">
      <c r="B514" s="11"/>
      <c r="C514" s="11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1"/>
    </row>
    <row r="515" spans="2:31" ht="15">
      <c r="B515" s="11"/>
      <c r="C515" s="11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1"/>
    </row>
    <row r="516" spans="2:31" ht="15">
      <c r="B516" s="11"/>
      <c r="C516" s="11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1"/>
    </row>
    <row r="517" spans="2:31" ht="15">
      <c r="B517" s="11"/>
      <c r="C517" s="11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1"/>
    </row>
    <row r="518" spans="2:31" ht="15">
      <c r="B518" s="11"/>
      <c r="C518" s="11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1"/>
    </row>
    <row r="519" spans="2:31" ht="15">
      <c r="B519" s="11"/>
      <c r="C519" s="11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1"/>
    </row>
    <row r="520" spans="2:31" ht="15">
      <c r="B520" s="11"/>
      <c r="C520" s="11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1"/>
    </row>
    <row r="521" spans="2:31" ht="15">
      <c r="B521" s="11"/>
      <c r="C521" s="11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1"/>
    </row>
    <row r="522" spans="2:31" ht="15">
      <c r="B522" s="11"/>
      <c r="C522" s="11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1"/>
    </row>
    <row r="523" spans="2:31" ht="15">
      <c r="B523" s="11"/>
      <c r="C523" s="11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1"/>
    </row>
    <row r="524" spans="2:31" ht="15">
      <c r="B524" s="11"/>
      <c r="C524" s="11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1"/>
    </row>
    <row r="525" spans="2:31" ht="15">
      <c r="B525" s="11"/>
      <c r="C525" s="11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1"/>
    </row>
    <row r="526" spans="2:31" ht="15">
      <c r="B526" s="11"/>
      <c r="C526" s="11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1"/>
    </row>
    <row r="527" spans="2:31" ht="15">
      <c r="B527" s="11"/>
      <c r="C527" s="11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1"/>
    </row>
    <row r="528" spans="2:31" ht="15">
      <c r="B528" s="11"/>
      <c r="C528" s="11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1"/>
    </row>
    <row r="529" spans="2:31" ht="15">
      <c r="B529" s="11"/>
      <c r="C529" s="11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1"/>
    </row>
    <row r="530" spans="2:31" ht="15">
      <c r="B530" s="11"/>
      <c r="C530" s="11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1"/>
    </row>
    <row r="531" spans="2:31" ht="15">
      <c r="B531" s="11"/>
      <c r="C531" s="11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1"/>
    </row>
    <row r="532" spans="2:31" ht="15">
      <c r="B532" s="11"/>
      <c r="C532" s="11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1"/>
    </row>
    <row r="533" spans="2:31" ht="15">
      <c r="B533" s="11"/>
      <c r="C533" s="11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1"/>
    </row>
    <row r="534" spans="2:31" ht="15">
      <c r="B534" s="11"/>
      <c r="C534" s="11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1"/>
    </row>
    <row r="535" spans="2:31" ht="15">
      <c r="B535" s="11"/>
      <c r="C535" s="11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1"/>
    </row>
    <row r="536" spans="2:31" ht="15">
      <c r="B536" s="11"/>
      <c r="C536" s="11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1"/>
    </row>
    <row r="537" spans="2:31" ht="15">
      <c r="B537" s="11"/>
      <c r="C537" s="11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1"/>
    </row>
    <row r="538" spans="2:31" ht="15">
      <c r="B538" s="11"/>
      <c r="C538" s="11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1"/>
    </row>
    <row r="539" spans="2:31" ht="15">
      <c r="B539" s="11"/>
      <c r="C539" s="11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1"/>
    </row>
    <row r="540" spans="2:31" ht="15">
      <c r="B540" s="11"/>
      <c r="C540" s="11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1"/>
    </row>
    <row r="541" spans="2:31" ht="15">
      <c r="B541" s="11"/>
      <c r="C541" s="11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1"/>
    </row>
    <row r="542" spans="2:31" ht="15">
      <c r="B542" s="11"/>
      <c r="C542" s="11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1"/>
    </row>
    <row r="543" spans="2:31" ht="15">
      <c r="B543" s="11"/>
      <c r="C543" s="11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1"/>
    </row>
    <row r="544" spans="2:31" ht="15">
      <c r="B544" s="11"/>
      <c r="C544" s="11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1"/>
    </row>
    <row r="545" spans="2:31" ht="15">
      <c r="B545" s="11"/>
      <c r="C545" s="11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1"/>
    </row>
    <row r="546" spans="2:31" ht="15">
      <c r="B546" s="11"/>
      <c r="C546" s="11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1"/>
    </row>
    <row r="547" spans="2:31" ht="15">
      <c r="B547" s="11"/>
      <c r="C547" s="11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1"/>
    </row>
    <row r="548" spans="2:31" ht="15">
      <c r="B548" s="11"/>
      <c r="C548" s="11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1"/>
    </row>
    <row r="549" spans="2:31" ht="15">
      <c r="B549" s="11"/>
      <c r="C549" s="11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1"/>
    </row>
    <row r="550" spans="2:31" ht="15">
      <c r="B550" s="11"/>
      <c r="C550" s="11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1"/>
    </row>
    <row r="551" spans="2:31" ht="15">
      <c r="B551" s="11"/>
      <c r="C551" s="11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1"/>
    </row>
    <row r="552" spans="2:31" ht="15">
      <c r="B552" s="11"/>
      <c r="C552" s="11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1"/>
    </row>
    <row r="553" spans="2:31" ht="15">
      <c r="B553" s="11"/>
      <c r="C553" s="11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1"/>
    </row>
    <row r="554" spans="2:31" ht="15">
      <c r="B554" s="11"/>
      <c r="C554" s="11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1"/>
    </row>
    <row r="555" spans="2:31" ht="15">
      <c r="B555" s="11"/>
      <c r="C555" s="11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1"/>
    </row>
    <row r="556" spans="2:31" ht="15">
      <c r="B556" s="11"/>
      <c r="C556" s="11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1"/>
    </row>
    <row r="557" spans="2:31" ht="15">
      <c r="B557" s="11"/>
      <c r="C557" s="11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1"/>
    </row>
    <row r="558" spans="2:31" ht="15">
      <c r="B558" s="11"/>
      <c r="C558" s="11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1"/>
    </row>
    <row r="559" spans="2:31" ht="15">
      <c r="B559" s="11"/>
      <c r="C559" s="11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1"/>
    </row>
    <row r="560" spans="2:31" ht="15">
      <c r="B560" s="11"/>
      <c r="C560" s="11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1"/>
    </row>
    <row r="561" spans="2:31" ht="15">
      <c r="B561" s="11"/>
      <c r="C561" s="11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1"/>
    </row>
    <row r="562" spans="2:31" ht="15">
      <c r="B562" s="11"/>
      <c r="C562" s="11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1"/>
    </row>
    <row r="563" spans="2:31" ht="15">
      <c r="B563" s="11"/>
      <c r="C563" s="11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1"/>
    </row>
    <row r="564" spans="2:31" ht="15">
      <c r="B564" s="11"/>
      <c r="C564" s="11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1"/>
    </row>
    <row r="565" spans="2:31" ht="15">
      <c r="B565" s="11"/>
      <c r="C565" s="11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1"/>
    </row>
    <row r="566" spans="2:31" ht="15">
      <c r="B566" s="11"/>
      <c r="C566" s="11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1"/>
    </row>
    <row r="567" spans="2:31" ht="15">
      <c r="B567" s="11"/>
      <c r="C567" s="11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1"/>
    </row>
    <row r="568" spans="2:31" ht="15">
      <c r="B568" s="11"/>
      <c r="C568" s="11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1"/>
    </row>
    <row r="569" spans="2:31" ht="15">
      <c r="B569" s="11"/>
      <c r="C569" s="11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1"/>
    </row>
    <row r="570" spans="2:31" ht="15">
      <c r="B570" s="11"/>
      <c r="C570" s="11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1"/>
    </row>
    <row r="571" spans="2:31" ht="15">
      <c r="B571" s="11"/>
      <c r="C571" s="11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1"/>
    </row>
    <row r="572" spans="2:31" ht="15">
      <c r="B572" s="11"/>
      <c r="C572" s="11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1"/>
    </row>
    <row r="573" spans="2:31" ht="15">
      <c r="B573" s="11"/>
      <c r="C573" s="11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1"/>
    </row>
    <row r="574" spans="2:31" ht="15">
      <c r="B574" s="11"/>
      <c r="C574" s="11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1"/>
    </row>
    <row r="575" spans="2:31" ht="15">
      <c r="B575" s="11"/>
      <c r="C575" s="11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1"/>
    </row>
    <row r="576" spans="2:31" ht="15">
      <c r="B576" s="11"/>
      <c r="C576" s="11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1"/>
    </row>
    <row r="577" spans="2:31" ht="15">
      <c r="B577" s="11"/>
      <c r="C577" s="11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1"/>
    </row>
    <row r="578" spans="2:31" ht="15">
      <c r="B578" s="11"/>
      <c r="C578" s="11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1"/>
    </row>
    <row r="579" spans="2:31" ht="15">
      <c r="B579" s="11"/>
      <c r="C579" s="11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1"/>
    </row>
    <row r="580" spans="2:31" ht="15">
      <c r="B580" s="11"/>
      <c r="C580" s="11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1"/>
    </row>
    <row r="581" spans="2:31" ht="15">
      <c r="B581" s="11"/>
      <c r="C581" s="11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1"/>
    </row>
    <row r="582" spans="2:31" ht="15">
      <c r="B582" s="11"/>
      <c r="C582" s="11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1"/>
    </row>
    <row r="583" spans="2:31" ht="15">
      <c r="B583" s="11"/>
      <c r="C583" s="11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1"/>
    </row>
    <row r="584" spans="2:31" ht="15">
      <c r="B584" s="11"/>
      <c r="C584" s="11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1"/>
    </row>
    <row r="585" spans="2:31" ht="15">
      <c r="B585" s="11"/>
      <c r="C585" s="11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1"/>
    </row>
    <row r="586" spans="2:31" ht="15">
      <c r="B586" s="11"/>
      <c r="C586" s="11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1"/>
    </row>
    <row r="587" spans="2:31" ht="15">
      <c r="B587" s="11"/>
      <c r="C587" s="11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1"/>
    </row>
    <row r="588" spans="2:31" ht="15">
      <c r="B588" s="11"/>
      <c r="C588" s="11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1"/>
    </row>
    <row r="589" spans="2:31" ht="15">
      <c r="B589" s="11"/>
      <c r="C589" s="11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1"/>
    </row>
    <row r="590" spans="2:31" ht="15">
      <c r="B590" s="11"/>
      <c r="C590" s="11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1"/>
    </row>
    <row r="591" spans="2:31" ht="15">
      <c r="B591" s="11"/>
      <c r="C591" s="11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1"/>
    </row>
    <row r="592" spans="2:31" ht="15">
      <c r="B592" s="11"/>
      <c r="C592" s="11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1"/>
    </row>
    <row r="593" spans="2:31" ht="15">
      <c r="B593" s="11"/>
      <c r="C593" s="11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1"/>
    </row>
    <row r="594" spans="2:31" ht="15">
      <c r="B594" s="11"/>
      <c r="C594" s="11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1"/>
    </row>
    <row r="595" spans="2:31" ht="15">
      <c r="B595" s="11"/>
      <c r="C595" s="11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1"/>
    </row>
    <row r="596" spans="2:31" ht="15">
      <c r="B596" s="11"/>
      <c r="C596" s="11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1"/>
    </row>
    <row r="597" spans="2:31" ht="15">
      <c r="B597" s="11"/>
      <c r="C597" s="11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1"/>
    </row>
    <row r="598" spans="2:31" ht="15">
      <c r="B598" s="11"/>
      <c r="C598" s="11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1"/>
    </row>
    <row r="599" spans="2:31" ht="15">
      <c r="B599" s="11"/>
      <c r="C599" s="11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1"/>
    </row>
    <row r="600" spans="2:31" ht="15">
      <c r="B600" s="11"/>
      <c r="C600" s="11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1"/>
    </row>
    <row r="601" spans="2:31" ht="15">
      <c r="B601" s="11"/>
      <c r="C601" s="11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1"/>
    </row>
    <row r="602" spans="2:31" ht="15">
      <c r="B602" s="11"/>
      <c r="C602" s="11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1"/>
    </row>
    <row r="603" spans="2:31" ht="15">
      <c r="B603" s="11"/>
      <c r="C603" s="11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1"/>
    </row>
    <row r="604" spans="2:31" ht="15">
      <c r="B604" s="11"/>
      <c r="C604" s="11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1"/>
    </row>
    <row r="605" spans="2:31" ht="15">
      <c r="B605" s="11"/>
      <c r="C605" s="11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1"/>
    </row>
    <row r="606" spans="2:31" ht="15">
      <c r="B606" s="11"/>
      <c r="C606" s="11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1"/>
    </row>
    <row r="607" spans="2:31" ht="15">
      <c r="B607" s="11"/>
      <c r="C607" s="11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1"/>
    </row>
    <row r="608" spans="2:31" ht="15">
      <c r="B608" s="11"/>
      <c r="C608" s="11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1"/>
    </row>
    <row r="609" spans="2:31" ht="15">
      <c r="B609" s="11"/>
      <c r="C609" s="11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1"/>
    </row>
    <row r="610" spans="2:31" ht="15">
      <c r="B610" s="11"/>
      <c r="C610" s="11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1"/>
    </row>
    <row r="611" spans="2:31" ht="15">
      <c r="B611" s="11"/>
      <c r="C611" s="11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1"/>
    </row>
    <row r="612" spans="2:31" ht="15">
      <c r="B612" s="11"/>
      <c r="C612" s="11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1"/>
    </row>
    <row r="613" spans="2:31" ht="15">
      <c r="B613" s="11"/>
      <c r="C613" s="11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1"/>
    </row>
    <row r="614" spans="2:31" ht="15">
      <c r="B614" s="11"/>
      <c r="C614" s="11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1"/>
    </row>
    <row r="615" spans="2:31" ht="15">
      <c r="B615" s="11"/>
      <c r="C615" s="11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1"/>
    </row>
    <row r="616" spans="2:31" ht="15">
      <c r="B616" s="11"/>
      <c r="C616" s="11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1"/>
    </row>
    <row r="617" spans="2:31" ht="15">
      <c r="B617" s="11"/>
      <c r="C617" s="11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1"/>
    </row>
    <row r="618" spans="2:31" ht="15">
      <c r="B618" s="11"/>
      <c r="C618" s="11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1"/>
    </row>
    <row r="619" spans="2:31" ht="15">
      <c r="B619" s="11"/>
      <c r="C619" s="11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1"/>
    </row>
    <row r="620" spans="2:31" ht="15">
      <c r="B620" s="11"/>
      <c r="C620" s="11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1"/>
    </row>
    <row r="621" spans="2:31" ht="15">
      <c r="B621" s="11"/>
      <c r="C621" s="11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1"/>
    </row>
    <row r="622" spans="2:31" ht="15">
      <c r="B622" s="11"/>
      <c r="C622" s="11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1"/>
    </row>
    <row r="623" spans="2:31" ht="15">
      <c r="B623" s="11"/>
      <c r="C623" s="11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1"/>
    </row>
    <row r="624" spans="2:31" ht="15">
      <c r="B624" s="11"/>
      <c r="C624" s="11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1"/>
    </row>
    <row r="625" spans="2:31" ht="15">
      <c r="B625" s="11"/>
      <c r="C625" s="11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1"/>
    </row>
    <row r="626" spans="2:31" ht="15">
      <c r="B626" s="11"/>
      <c r="C626" s="11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1"/>
    </row>
    <row r="627" spans="2:31" ht="15">
      <c r="B627" s="11"/>
      <c r="C627" s="11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1"/>
    </row>
    <row r="628" spans="2:31" ht="15">
      <c r="B628" s="11"/>
      <c r="C628" s="11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1"/>
    </row>
    <row r="629" spans="2:31" ht="15">
      <c r="B629" s="11"/>
      <c r="C629" s="11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1"/>
    </row>
    <row r="630" spans="2:31" ht="15">
      <c r="B630" s="11"/>
      <c r="C630" s="11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1"/>
    </row>
    <row r="631" spans="2:31" ht="15">
      <c r="B631" s="11"/>
      <c r="C631" s="11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1"/>
    </row>
    <row r="632" spans="2:31" ht="15">
      <c r="B632" s="11"/>
      <c r="C632" s="11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1"/>
    </row>
    <row r="633" spans="2:31" ht="15">
      <c r="B633" s="11"/>
      <c r="C633" s="11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1"/>
    </row>
    <row r="634" spans="2:31" ht="15">
      <c r="B634" s="11"/>
      <c r="C634" s="11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1"/>
    </row>
    <row r="635" spans="2:31" ht="15">
      <c r="B635" s="11"/>
      <c r="C635" s="11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1"/>
    </row>
    <row r="636" spans="2:31" ht="15">
      <c r="B636" s="11"/>
      <c r="C636" s="11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1"/>
    </row>
    <row r="637" spans="2:31" ht="15">
      <c r="B637" s="11"/>
      <c r="C637" s="11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1"/>
    </row>
    <row r="638" spans="2:31" ht="15">
      <c r="B638" s="11"/>
      <c r="C638" s="11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1"/>
    </row>
    <row r="639" spans="2:31" ht="15">
      <c r="B639" s="11"/>
      <c r="C639" s="11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1"/>
    </row>
    <row r="640" spans="2:31" ht="15">
      <c r="B640" s="11"/>
      <c r="C640" s="11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1"/>
    </row>
    <row r="641" spans="2:31" ht="15">
      <c r="B641" s="11"/>
      <c r="C641" s="11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1"/>
    </row>
    <row r="642" spans="2:31" ht="15">
      <c r="B642" s="11"/>
      <c r="C642" s="11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1"/>
    </row>
    <row r="643" spans="2:31" ht="15">
      <c r="B643" s="11"/>
      <c r="C643" s="11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1"/>
    </row>
    <row r="644" spans="2:31" ht="15">
      <c r="B644" s="11"/>
      <c r="C644" s="11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1"/>
    </row>
    <row r="645" spans="2:31" ht="15">
      <c r="B645" s="11"/>
      <c r="C645" s="11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1"/>
    </row>
    <row r="646" spans="2:31" ht="15">
      <c r="B646" s="11"/>
      <c r="C646" s="11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1"/>
    </row>
    <row r="647" spans="2:31" ht="15">
      <c r="B647" s="11"/>
      <c r="C647" s="11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1"/>
    </row>
    <row r="648" spans="2:31" ht="15">
      <c r="B648" s="11"/>
      <c r="C648" s="11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1"/>
    </row>
    <row r="649" spans="2:31" ht="15">
      <c r="B649" s="11"/>
      <c r="C649" s="11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1"/>
    </row>
    <row r="650" spans="2:31" ht="15">
      <c r="B650" s="11"/>
      <c r="C650" s="11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1"/>
    </row>
    <row r="651" spans="2:31" ht="15">
      <c r="B651" s="11"/>
      <c r="C651" s="11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1"/>
    </row>
    <row r="652" spans="2:31" ht="15">
      <c r="B652" s="11"/>
      <c r="C652" s="11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1"/>
    </row>
    <row r="653" spans="2:31" ht="15">
      <c r="B653" s="11"/>
      <c r="C653" s="11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1"/>
    </row>
    <row r="654" spans="2:31" ht="15">
      <c r="B654" s="11"/>
      <c r="C654" s="11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1"/>
    </row>
    <row r="655" spans="2:31" ht="15">
      <c r="B655" s="11"/>
      <c r="C655" s="11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1"/>
    </row>
    <row r="656" spans="2:31" ht="15">
      <c r="B656" s="11"/>
      <c r="C656" s="11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1"/>
    </row>
    <row r="657" spans="2:31" ht="15">
      <c r="B657" s="11"/>
      <c r="C657" s="11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1"/>
    </row>
    <row r="658" spans="2:31" ht="15">
      <c r="B658" s="11"/>
      <c r="C658" s="11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1"/>
    </row>
    <row r="659" spans="2:31" ht="15">
      <c r="B659" s="11"/>
      <c r="C659" s="11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1"/>
    </row>
    <row r="660" spans="2:31" ht="15">
      <c r="B660" s="11"/>
      <c r="C660" s="11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1"/>
    </row>
    <row r="661" spans="2:31" ht="15">
      <c r="B661" s="11"/>
      <c r="C661" s="11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1"/>
    </row>
    <row r="662" spans="2:31" ht="15">
      <c r="B662" s="11"/>
      <c r="C662" s="11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1"/>
    </row>
    <row r="663" spans="2:31" ht="15">
      <c r="B663" s="11"/>
      <c r="C663" s="11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1"/>
    </row>
    <row r="664" spans="2:31" ht="15">
      <c r="B664" s="11"/>
      <c r="C664" s="11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1"/>
    </row>
    <row r="665" spans="2:31" ht="15">
      <c r="B665" s="11"/>
      <c r="C665" s="11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1"/>
    </row>
    <row r="666" spans="2:31" ht="15">
      <c r="B666" s="11"/>
      <c r="C666" s="11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1"/>
    </row>
    <row r="667" spans="2:31" ht="15">
      <c r="B667" s="11"/>
      <c r="C667" s="11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1"/>
    </row>
    <row r="668" spans="2:31" ht="15">
      <c r="B668" s="11"/>
      <c r="C668" s="11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1"/>
    </row>
    <row r="669" spans="2:31" ht="15">
      <c r="B669" s="11"/>
      <c r="C669" s="11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1"/>
    </row>
    <row r="670" spans="2:31" ht="15">
      <c r="B670" s="11"/>
      <c r="C670" s="11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1"/>
    </row>
    <row r="671" spans="2:31" ht="15">
      <c r="B671" s="11"/>
      <c r="C671" s="11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1"/>
    </row>
    <row r="672" spans="2:31" ht="15">
      <c r="B672" s="11"/>
      <c r="C672" s="11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1"/>
    </row>
    <row r="673" spans="2:31" ht="15">
      <c r="B673" s="11"/>
      <c r="C673" s="11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1"/>
    </row>
    <row r="674" spans="2:31" ht="15">
      <c r="B674" s="11"/>
      <c r="C674" s="11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1"/>
    </row>
    <row r="675" spans="2:31" ht="15">
      <c r="B675" s="11"/>
      <c r="C675" s="11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1"/>
    </row>
    <row r="676" spans="2:31" ht="15">
      <c r="B676" s="11"/>
      <c r="C676" s="11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1"/>
    </row>
    <row r="677" spans="2:31" ht="15">
      <c r="B677" s="11"/>
      <c r="C677" s="11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1"/>
    </row>
    <row r="678" spans="2:31" ht="15">
      <c r="B678" s="11"/>
      <c r="C678" s="11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1"/>
    </row>
    <row r="679" spans="2:31" ht="15">
      <c r="B679" s="11"/>
      <c r="C679" s="11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1"/>
    </row>
    <row r="680" spans="2:31" ht="15">
      <c r="B680" s="11"/>
      <c r="C680" s="11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1"/>
    </row>
    <row r="681" spans="2:31" ht="15">
      <c r="B681" s="11"/>
      <c r="C681" s="11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1"/>
    </row>
    <row r="682" spans="2:31" ht="15">
      <c r="B682" s="11"/>
      <c r="C682" s="11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1"/>
    </row>
    <row r="683" spans="2:31" ht="15">
      <c r="B683" s="11"/>
      <c r="C683" s="11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1"/>
    </row>
    <row r="684" spans="2:31" ht="15">
      <c r="B684" s="11"/>
      <c r="C684" s="11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1"/>
    </row>
    <row r="685" spans="2:31" ht="15">
      <c r="B685" s="11"/>
      <c r="C685" s="11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1"/>
    </row>
    <row r="686" spans="2:31" ht="15">
      <c r="B686" s="11"/>
      <c r="C686" s="11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1"/>
    </row>
    <row r="687" spans="2:31" ht="15">
      <c r="B687" s="11"/>
      <c r="C687" s="11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1"/>
    </row>
    <row r="688" spans="2:31" ht="15">
      <c r="B688" s="11"/>
      <c r="C688" s="11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1"/>
    </row>
    <row r="689" spans="2:31" ht="15">
      <c r="B689" s="11"/>
      <c r="C689" s="11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1"/>
    </row>
    <row r="690" spans="2:31" ht="15">
      <c r="B690" s="11"/>
      <c r="C690" s="11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1"/>
    </row>
    <row r="691" spans="2:31" ht="15">
      <c r="B691" s="11"/>
      <c r="C691" s="11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1"/>
    </row>
    <row r="692" spans="2:31" ht="15">
      <c r="B692" s="11"/>
      <c r="C692" s="11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1"/>
    </row>
    <row r="693" spans="2:31" ht="15">
      <c r="B693" s="11"/>
      <c r="C693" s="11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1"/>
    </row>
    <row r="694" spans="2:31" ht="15">
      <c r="B694" s="11"/>
      <c r="C694" s="11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1"/>
    </row>
    <row r="695" spans="2:31" ht="15">
      <c r="B695" s="11"/>
      <c r="C695" s="11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1"/>
    </row>
    <row r="696" spans="2:31" ht="15">
      <c r="B696" s="11"/>
      <c r="C696" s="11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1"/>
    </row>
    <row r="697" spans="2:31" ht="15">
      <c r="B697" s="11"/>
      <c r="C697" s="11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1"/>
    </row>
    <row r="698" spans="2:31" ht="15">
      <c r="B698" s="11"/>
      <c r="C698" s="11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1"/>
    </row>
    <row r="699" spans="2:31" ht="15">
      <c r="B699" s="11"/>
      <c r="C699" s="11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1"/>
    </row>
    <row r="700" spans="2:31" ht="15">
      <c r="B700" s="11"/>
      <c r="C700" s="11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1"/>
    </row>
    <row r="701" spans="2:31" ht="15">
      <c r="B701" s="11"/>
      <c r="C701" s="11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1"/>
    </row>
    <row r="702" spans="2:31" ht="15">
      <c r="B702" s="11"/>
      <c r="C702" s="11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1"/>
    </row>
    <row r="703" spans="2:31" ht="15">
      <c r="B703" s="11"/>
      <c r="C703" s="11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1"/>
    </row>
    <row r="704" spans="2:31" ht="15">
      <c r="B704" s="11"/>
      <c r="C704" s="11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1"/>
    </row>
    <row r="705" spans="2:31" ht="15">
      <c r="B705" s="11"/>
      <c r="C705" s="11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1"/>
    </row>
    <row r="706" spans="2:31" ht="15">
      <c r="B706" s="11"/>
      <c r="C706" s="11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1"/>
    </row>
    <row r="707" spans="2:31" ht="15">
      <c r="B707" s="11"/>
      <c r="C707" s="11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1"/>
    </row>
    <row r="708" spans="2:31" ht="15">
      <c r="B708" s="11"/>
      <c r="C708" s="11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1"/>
    </row>
    <row r="709" spans="2:31" ht="15">
      <c r="B709" s="11"/>
      <c r="C709" s="11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1"/>
    </row>
    <row r="710" spans="2:31" ht="15">
      <c r="B710" s="11"/>
      <c r="C710" s="11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1"/>
    </row>
    <row r="711" spans="2:31" ht="15">
      <c r="B711" s="11"/>
      <c r="C711" s="11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1"/>
    </row>
    <row r="712" spans="2:31" ht="15">
      <c r="B712" s="11"/>
      <c r="C712" s="11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1"/>
    </row>
    <row r="713" spans="2:31" ht="15">
      <c r="B713" s="11"/>
      <c r="C713" s="11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1"/>
    </row>
    <row r="714" spans="2:31" ht="15">
      <c r="B714" s="11"/>
      <c r="C714" s="11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1"/>
    </row>
    <row r="715" spans="2:31" ht="15">
      <c r="B715" s="11"/>
      <c r="C715" s="11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1"/>
    </row>
    <row r="716" spans="2:31" ht="15">
      <c r="B716" s="11"/>
      <c r="C716" s="11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1"/>
    </row>
    <row r="717" spans="2:31" ht="15">
      <c r="B717" s="11"/>
      <c r="C717" s="11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1"/>
    </row>
    <row r="718" spans="2:31" ht="15">
      <c r="B718" s="11"/>
      <c r="C718" s="11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1"/>
    </row>
    <row r="719" spans="2:31" ht="15">
      <c r="B719" s="11"/>
      <c r="C719" s="11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1"/>
    </row>
    <row r="720" spans="2:31" ht="15">
      <c r="B720" s="11"/>
      <c r="C720" s="11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1"/>
    </row>
    <row r="721" spans="2:31" ht="15">
      <c r="B721" s="11"/>
      <c r="C721" s="11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1"/>
    </row>
    <row r="722" spans="2:31" ht="15">
      <c r="B722" s="11"/>
      <c r="C722" s="11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1"/>
    </row>
    <row r="723" spans="2:31" ht="15">
      <c r="B723" s="11"/>
      <c r="C723" s="11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1"/>
    </row>
    <row r="724" spans="2:31" ht="15">
      <c r="B724" s="11"/>
      <c r="C724" s="11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1"/>
    </row>
    <row r="725" spans="2:31" ht="15">
      <c r="B725" s="11"/>
      <c r="C725" s="11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1"/>
    </row>
    <row r="726" spans="2:31" ht="15">
      <c r="B726" s="11"/>
      <c r="C726" s="11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1"/>
    </row>
    <row r="727" spans="2:31" ht="15">
      <c r="B727" s="11"/>
      <c r="C727" s="11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1"/>
    </row>
    <row r="728" spans="2:31" ht="15">
      <c r="B728" s="11"/>
      <c r="C728" s="11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1"/>
    </row>
    <row r="729" spans="2:31" ht="15">
      <c r="B729" s="11"/>
      <c r="C729" s="11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1"/>
    </row>
    <row r="730" spans="2:31" ht="15">
      <c r="B730" s="11"/>
      <c r="C730" s="11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1"/>
    </row>
    <row r="731" spans="2:31" ht="15">
      <c r="B731" s="11"/>
      <c r="C731" s="11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1"/>
    </row>
    <row r="732" spans="2:31" ht="15">
      <c r="B732" s="11"/>
      <c r="C732" s="11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1"/>
    </row>
    <row r="733" spans="2:31" ht="15">
      <c r="B733" s="11"/>
      <c r="C733" s="11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1"/>
    </row>
    <row r="734" spans="2:31" ht="15">
      <c r="B734" s="11"/>
      <c r="C734" s="11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1"/>
    </row>
    <row r="735" spans="2:31" ht="15">
      <c r="B735" s="11"/>
      <c r="C735" s="11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1"/>
    </row>
    <row r="736" spans="2:31" ht="15">
      <c r="B736" s="11"/>
      <c r="C736" s="11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1"/>
    </row>
    <row r="737" spans="2:31" ht="15">
      <c r="B737" s="11"/>
      <c r="C737" s="11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1"/>
    </row>
    <row r="738" spans="2:31" ht="15">
      <c r="B738" s="11"/>
      <c r="C738" s="11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1"/>
    </row>
    <row r="739" spans="2:31" ht="15">
      <c r="B739" s="11"/>
      <c r="C739" s="11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1"/>
    </row>
    <row r="740" spans="2:31" ht="15">
      <c r="B740" s="11"/>
      <c r="C740" s="11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1"/>
    </row>
    <row r="741" spans="2:31" ht="15">
      <c r="B741" s="11"/>
      <c r="C741" s="11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1"/>
    </row>
    <row r="742" spans="2:31" ht="15">
      <c r="B742" s="11"/>
      <c r="C742" s="11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1"/>
    </row>
    <row r="743" spans="2:31" ht="15">
      <c r="B743" s="11"/>
      <c r="C743" s="11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1"/>
    </row>
    <row r="744" spans="2:31" ht="15">
      <c r="B744" s="11"/>
      <c r="C744" s="11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1"/>
    </row>
    <row r="745" spans="2:31" ht="15">
      <c r="B745" s="11"/>
      <c r="C745" s="11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1"/>
    </row>
    <row r="746" spans="2:31" ht="15">
      <c r="B746" s="11"/>
      <c r="C746" s="11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1"/>
    </row>
    <row r="747" spans="2:31" ht="15">
      <c r="B747" s="11"/>
      <c r="C747" s="11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1"/>
    </row>
    <row r="748" spans="2:31" ht="15">
      <c r="B748" s="11"/>
      <c r="C748" s="11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1"/>
    </row>
    <row r="749" spans="2:31" ht="15">
      <c r="B749" s="11"/>
      <c r="C749" s="11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1"/>
    </row>
    <row r="750" spans="2:31" ht="15">
      <c r="B750" s="11"/>
      <c r="C750" s="11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1"/>
    </row>
    <row r="751" spans="2:31" ht="15">
      <c r="B751" s="11"/>
      <c r="C751" s="11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1"/>
    </row>
    <row r="752" spans="2:31" ht="15">
      <c r="B752" s="11"/>
      <c r="C752" s="11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1"/>
    </row>
    <row r="753" spans="2:31" ht="15">
      <c r="B753" s="11"/>
      <c r="C753" s="11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1"/>
    </row>
    <row r="754" spans="2:31" ht="15">
      <c r="B754" s="11"/>
      <c r="C754" s="11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1"/>
    </row>
    <row r="755" spans="2:31" ht="15">
      <c r="B755" s="11"/>
      <c r="C755" s="11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1"/>
    </row>
    <row r="756" spans="2:31" ht="15">
      <c r="B756" s="11"/>
      <c r="C756" s="11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1"/>
    </row>
    <row r="757" spans="2:31" ht="15">
      <c r="B757" s="11"/>
      <c r="C757" s="11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1"/>
    </row>
    <row r="758" spans="2:31" ht="15">
      <c r="B758" s="11"/>
      <c r="C758" s="11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1"/>
    </row>
    <row r="759" spans="2:31" ht="15">
      <c r="B759" s="11"/>
      <c r="C759" s="11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1"/>
    </row>
    <row r="760" spans="2:31" ht="15">
      <c r="B760" s="11"/>
      <c r="C760" s="11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1"/>
    </row>
    <row r="761" spans="2:31" ht="15">
      <c r="B761" s="11"/>
      <c r="C761" s="11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1"/>
    </row>
    <row r="762" spans="2:31" ht="15">
      <c r="B762" s="11"/>
      <c r="C762" s="11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1"/>
    </row>
    <row r="763" spans="2:31" ht="15">
      <c r="B763" s="11"/>
      <c r="C763" s="11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1"/>
    </row>
    <row r="764" spans="2:31" ht="15">
      <c r="B764" s="11"/>
      <c r="C764" s="11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1"/>
    </row>
    <row r="765" spans="2:31" ht="15">
      <c r="B765" s="11"/>
      <c r="C765" s="11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1"/>
    </row>
    <row r="766" spans="2:31" ht="15">
      <c r="B766" s="11"/>
      <c r="C766" s="11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1"/>
    </row>
    <row r="767" spans="2:31" ht="15">
      <c r="B767" s="11"/>
      <c r="C767" s="11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1"/>
    </row>
    <row r="768" spans="2:31" ht="15">
      <c r="B768" s="11"/>
      <c r="C768" s="11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1"/>
    </row>
    <row r="769" spans="2:31" ht="15">
      <c r="B769" s="11"/>
      <c r="C769" s="11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1"/>
    </row>
    <row r="770" spans="2:31" ht="15">
      <c r="B770" s="11"/>
      <c r="C770" s="11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1"/>
    </row>
    <row r="771" spans="2:31" ht="15">
      <c r="B771" s="11"/>
      <c r="C771" s="11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1"/>
    </row>
    <row r="772" spans="2:31" ht="15">
      <c r="B772" s="11"/>
      <c r="C772" s="11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1"/>
    </row>
    <row r="773" spans="2:31" ht="15">
      <c r="B773" s="11"/>
      <c r="C773" s="11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1"/>
    </row>
    <row r="774" spans="2:31" ht="15">
      <c r="B774" s="11"/>
      <c r="C774" s="11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1"/>
    </row>
    <row r="775" spans="2:31" ht="15">
      <c r="B775" s="11"/>
      <c r="C775" s="11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1"/>
    </row>
    <row r="776" spans="2:31" ht="15">
      <c r="B776" s="11"/>
      <c r="C776" s="11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1"/>
    </row>
    <row r="777" spans="2:31" ht="15">
      <c r="B777" s="11"/>
      <c r="C777" s="11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1"/>
    </row>
    <row r="778" spans="2:31" ht="15">
      <c r="B778" s="11"/>
      <c r="C778" s="11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1"/>
    </row>
    <row r="779" spans="2:31" ht="15">
      <c r="B779" s="11"/>
      <c r="C779" s="11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1"/>
    </row>
    <row r="780" spans="2:31" ht="15">
      <c r="B780" s="11"/>
      <c r="C780" s="11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1"/>
    </row>
    <row r="781" spans="2:31" ht="15">
      <c r="B781" s="11"/>
      <c r="C781" s="11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1"/>
    </row>
    <row r="782" spans="2:31" ht="15">
      <c r="B782" s="11"/>
      <c r="C782" s="11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1"/>
    </row>
    <row r="783" spans="2:31" ht="15">
      <c r="B783" s="11"/>
      <c r="C783" s="11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1"/>
    </row>
    <row r="784" spans="2:31" ht="15">
      <c r="B784" s="11"/>
      <c r="C784" s="11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1"/>
    </row>
    <row r="785" spans="2:31" ht="15">
      <c r="B785" s="11"/>
      <c r="C785" s="11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1"/>
    </row>
    <row r="786" spans="2:31" ht="15">
      <c r="B786" s="11"/>
      <c r="C786" s="11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1"/>
    </row>
    <row r="787" spans="2:31" ht="15">
      <c r="B787" s="11"/>
      <c r="C787" s="11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1"/>
    </row>
    <row r="788" spans="2:31" ht="15">
      <c r="B788" s="11"/>
      <c r="C788" s="11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1"/>
    </row>
    <row r="789" spans="2:31" ht="15">
      <c r="B789" s="11"/>
      <c r="C789" s="11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1"/>
    </row>
    <row r="790" spans="2:31" ht="15">
      <c r="B790" s="11"/>
      <c r="C790" s="11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1"/>
    </row>
    <row r="791" spans="2:31" ht="15">
      <c r="B791" s="11"/>
      <c r="C791" s="11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1"/>
    </row>
    <row r="792" spans="2:31" ht="15">
      <c r="B792" s="11"/>
      <c r="C792" s="11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1"/>
    </row>
    <row r="793" spans="2:31" ht="15">
      <c r="B793" s="11"/>
      <c r="C793" s="11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1"/>
    </row>
    <row r="794" spans="2:31" ht="15">
      <c r="B794" s="11"/>
      <c r="C794" s="11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1"/>
    </row>
    <row r="795" spans="2:31" ht="15">
      <c r="B795" s="11"/>
      <c r="C795" s="11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1"/>
    </row>
    <row r="796" spans="2:31" ht="15">
      <c r="B796" s="11"/>
      <c r="C796" s="11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1"/>
    </row>
    <row r="797" spans="2:31" ht="15">
      <c r="B797" s="11"/>
      <c r="C797" s="11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1"/>
    </row>
    <row r="798" spans="2:31" ht="15">
      <c r="B798" s="11"/>
      <c r="C798" s="11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1"/>
    </row>
    <row r="799" spans="2:31" ht="15">
      <c r="B799" s="11"/>
      <c r="C799" s="11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1"/>
    </row>
    <row r="800" spans="2:31" ht="15">
      <c r="B800" s="11"/>
      <c r="C800" s="11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1"/>
    </row>
    <row r="801" spans="2:31" ht="15">
      <c r="B801" s="11"/>
      <c r="C801" s="11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1"/>
    </row>
    <row r="802" spans="2:31" ht="15">
      <c r="B802" s="11"/>
      <c r="C802" s="11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1"/>
    </row>
    <row r="803" spans="2:31" ht="15">
      <c r="B803" s="11"/>
      <c r="C803" s="11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1"/>
    </row>
    <row r="804" spans="2:31" ht="15">
      <c r="B804" s="11"/>
      <c r="C804" s="11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1"/>
    </row>
    <row r="805" spans="2:31" ht="15">
      <c r="B805" s="11"/>
      <c r="C805" s="11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1"/>
    </row>
    <row r="806" spans="2:31" ht="15">
      <c r="B806" s="11"/>
      <c r="C806" s="11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1"/>
    </row>
    <row r="807" spans="2:31" ht="15">
      <c r="B807" s="11"/>
      <c r="C807" s="11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1"/>
    </row>
    <row r="808" spans="2:31" ht="15">
      <c r="B808" s="11"/>
      <c r="C808" s="11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1"/>
    </row>
    <row r="809" spans="2:31" ht="15">
      <c r="B809" s="11"/>
      <c r="C809" s="11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1"/>
    </row>
    <row r="810" spans="2:31" ht="15">
      <c r="B810" s="11"/>
      <c r="C810" s="11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1"/>
    </row>
    <row r="811" spans="2:31" ht="15">
      <c r="B811" s="11"/>
      <c r="C811" s="11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1"/>
    </row>
    <row r="812" spans="2:31" ht="15">
      <c r="B812" s="11"/>
      <c r="C812" s="11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1"/>
    </row>
    <row r="813" spans="2:31" ht="15">
      <c r="B813" s="11"/>
      <c r="C813" s="11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1"/>
    </row>
    <row r="814" spans="2:31" ht="15">
      <c r="B814" s="11"/>
      <c r="C814" s="11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1"/>
    </row>
    <row r="815" spans="2:31" ht="15">
      <c r="B815" s="11"/>
      <c r="C815" s="11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1"/>
    </row>
    <row r="816" spans="2:31" ht="15">
      <c r="B816" s="11"/>
      <c r="C816" s="11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1"/>
    </row>
    <row r="817" spans="2:31" ht="15">
      <c r="B817" s="11"/>
      <c r="C817" s="11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1"/>
    </row>
    <row r="818" spans="2:31" ht="15">
      <c r="B818" s="11"/>
      <c r="C818" s="11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1"/>
    </row>
    <row r="819" spans="2:31" ht="15">
      <c r="B819" s="11"/>
      <c r="C819" s="11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1"/>
    </row>
    <row r="820" spans="2:31" ht="15">
      <c r="B820" s="11"/>
      <c r="C820" s="11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1"/>
    </row>
    <row r="821" spans="2:31" ht="15">
      <c r="B821" s="11"/>
      <c r="C821" s="11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1"/>
    </row>
    <row r="822" spans="2:31" ht="15">
      <c r="B822" s="11"/>
      <c r="C822" s="11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1"/>
    </row>
    <row r="823" spans="2:31" ht="15">
      <c r="B823" s="11"/>
      <c r="C823" s="11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1"/>
    </row>
    <row r="824" spans="2:31" ht="15">
      <c r="B824" s="11"/>
      <c r="C824" s="11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1"/>
    </row>
    <row r="825" spans="2:31" ht="15">
      <c r="B825" s="11"/>
      <c r="C825" s="11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1"/>
    </row>
    <row r="826" spans="2:31" ht="15">
      <c r="B826" s="11"/>
      <c r="C826" s="11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1"/>
    </row>
    <row r="827" spans="2:31" ht="15">
      <c r="B827" s="11"/>
      <c r="C827" s="11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1"/>
    </row>
    <row r="828" spans="2:31" ht="15">
      <c r="B828" s="11"/>
      <c r="C828" s="11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1"/>
    </row>
    <row r="829" spans="2:31" ht="15">
      <c r="B829" s="11"/>
      <c r="C829" s="11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1"/>
    </row>
    <row r="830" spans="2:31" ht="15">
      <c r="B830" s="11"/>
      <c r="C830" s="11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1"/>
    </row>
    <row r="831" spans="2:31" ht="15">
      <c r="B831" s="11"/>
      <c r="C831" s="11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1"/>
    </row>
    <row r="832" spans="2:31" ht="15">
      <c r="B832" s="11"/>
      <c r="C832" s="11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1"/>
    </row>
    <row r="833" spans="2:31" ht="15">
      <c r="B833" s="11"/>
      <c r="C833" s="11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1"/>
    </row>
    <row r="834" spans="2:31" ht="15">
      <c r="B834" s="11"/>
      <c r="C834" s="11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1"/>
    </row>
    <row r="835" spans="2:31" ht="15">
      <c r="B835" s="11"/>
      <c r="C835" s="11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1"/>
    </row>
    <row r="836" spans="2:31" ht="15">
      <c r="B836" s="11"/>
      <c r="C836" s="11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1"/>
    </row>
    <row r="837" spans="2:31" ht="15">
      <c r="B837" s="11"/>
      <c r="C837" s="11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1"/>
    </row>
    <row r="838" spans="2:31" ht="15">
      <c r="B838" s="11"/>
      <c r="C838" s="11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1"/>
    </row>
    <row r="839" spans="2:31" ht="15">
      <c r="B839" s="11"/>
      <c r="C839" s="11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1"/>
    </row>
    <row r="840" spans="2:31" ht="15">
      <c r="B840" s="11"/>
      <c r="C840" s="11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1"/>
    </row>
    <row r="841" spans="2:31" ht="15">
      <c r="B841" s="11"/>
      <c r="C841" s="11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1"/>
    </row>
    <row r="842" spans="2:31" ht="15">
      <c r="B842" s="11"/>
      <c r="C842" s="11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1"/>
    </row>
    <row r="843" spans="2:31" ht="15">
      <c r="B843" s="11"/>
      <c r="C843" s="11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1"/>
    </row>
    <row r="844" spans="2:31" ht="15">
      <c r="B844" s="11"/>
      <c r="C844" s="11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1"/>
    </row>
    <row r="845" spans="2:31" ht="15">
      <c r="B845" s="11"/>
      <c r="C845" s="11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1"/>
    </row>
    <row r="846" spans="2:31" ht="15">
      <c r="B846" s="11"/>
      <c r="C846" s="11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1"/>
    </row>
    <row r="847" spans="2:31" ht="15">
      <c r="B847" s="11"/>
      <c r="C847" s="11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1"/>
    </row>
    <row r="848" spans="2:31" ht="15">
      <c r="B848" s="11"/>
      <c r="C848" s="11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1"/>
    </row>
    <row r="849" spans="2:31" ht="15">
      <c r="B849" s="11"/>
      <c r="C849" s="11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1"/>
    </row>
    <row r="850" spans="2:31" ht="15">
      <c r="B850" s="11"/>
      <c r="C850" s="11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1"/>
    </row>
    <row r="851" spans="2:31" ht="15">
      <c r="B851" s="11"/>
      <c r="C851" s="11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1"/>
    </row>
    <row r="852" spans="2:31" ht="15">
      <c r="B852" s="11"/>
      <c r="C852" s="11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1"/>
    </row>
    <row r="853" spans="2:31" ht="15">
      <c r="B853" s="11"/>
      <c r="C853" s="11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1"/>
    </row>
    <row r="854" spans="2:31" ht="15">
      <c r="B854" s="11"/>
      <c r="C854" s="11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1"/>
    </row>
    <row r="855" spans="2:31" ht="15">
      <c r="B855" s="11"/>
      <c r="C855" s="11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1"/>
    </row>
    <row r="856" spans="2:31" ht="15">
      <c r="B856" s="11"/>
      <c r="C856" s="11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1"/>
    </row>
    <row r="857" spans="2:31" ht="15">
      <c r="B857" s="11"/>
      <c r="C857" s="11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1"/>
    </row>
    <row r="858" spans="2:31" ht="15">
      <c r="B858" s="11"/>
      <c r="C858" s="11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1"/>
    </row>
    <row r="859" spans="2:31" ht="15">
      <c r="B859" s="11"/>
      <c r="C859" s="11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1"/>
    </row>
    <row r="860" spans="2:31" ht="15">
      <c r="B860" s="11"/>
      <c r="C860" s="11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1"/>
    </row>
    <row r="861" spans="2:31" ht="15">
      <c r="B861" s="11"/>
      <c r="C861" s="11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1"/>
    </row>
    <row r="862" spans="2:31" ht="15">
      <c r="B862" s="11"/>
      <c r="C862" s="11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1"/>
    </row>
    <row r="863" spans="2:31" ht="15">
      <c r="B863" s="11"/>
      <c r="C863" s="11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1"/>
    </row>
    <row r="864" spans="2:31" ht="15">
      <c r="B864" s="11"/>
      <c r="C864" s="11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1"/>
    </row>
    <row r="865" spans="2:31" ht="15">
      <c r="B865" s="11"/>
      <c r="C865" s="11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1"/>
    </row>
    <row r="866" spans="2:31" ht="15">
      <c r="B866" s="11"/>
      <c r="C866" s="11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1"/>
    </row>
    <row r="867" spans="2:31" ht="15">
      <c r="B867" s="11"/>
      <c r="C867" s="11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1"/>
    </row>
    <row r="868" spans="2:31" ht="15">
      <c r="B868" s="11"/>
      <c r="C868" s="11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1"/>
    </row>
    <row r="869" spans="2:31" ht="15">
      <c r="B869" s="11"/>
      <c r="C869" s="11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1"/>
    </row>
    <row r="870" spans="2:31" ht="15">
      <c r="B870" s="11"/>
      <c r="C870" s="11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1"/>
    </row>
    <row r="871" spans="2:31" ht="15">
      <c r="B871" s="11"/>
      <c r="C871" s="11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1"/>
    </row>
    <row r="872" spans="2:31" ht="15">
      <c r="B872" s="11"/>
      <c r="C872" s="11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1"/>
    </row>
    <row r="873" spans="2:31" ht="15">
      <c r="B873" s="11"/>
      <c r="C873" s="11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1"/>
    </row>
    <row r="874" spans="2:31" ht="15">
      <c r="B874" s="11"/>
      <c r="C874" s="11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1"/>
    </row>
    <row r="875" spans="2:31" ht="15">
      <c r="B875" s="11"/>
      <c r="C875" s="11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1"/>
    </row>
    <row r="876" spans="2:31" ht="15">
      <c r="B876" s="11"/>
      <c r="C876" s="11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1"/>
    </row>
    <row r="877" spans="2:31" ht="15">
      <c r="B877" s="11"/>
      <c r="C877" s="11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1"/>
    </row>
    <row r="878" spans="2:31" ht="15">
      <c r="B878" s="11"/>
      <c r="C878" s="11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1"/>
    </row>
    <row r="879" spans="2:31" ht="15">
      <c r="B879" s="11"/>
      <c r="C879" s="11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1"/>
    </row>
    <row r="880" spans="2:31" ht="15">
      <c r="B880" s="11"/>
      <c r="C880" s="11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1"/>
    </row>
    <row r="881" spans="2:31" ht="15">
      <c r="B881" s="11"/>
      <c r="C881" s="11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1"/>
    </row>
    <row r="882" spans="2:31" ht="15">
      <c r="B882" s="11"/>
      <c r="C882" s="11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1"/>
    </row>
    <row r="883" spans="2:31" ht="15">
      <c r="B883" s="11"/>
      <c r="C883" s="11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1"/>
    </row>
    <row r="884" spans="2:31" ht="15">
      <c r="B884" s="11"/>
      <c r="C884" s="11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1"/>
    </row>
    <row r="885" spans="2:31" ht="15">
      <c r="B885" s="11"/>
      <c r="C885" s="11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1"/>
    </row>
    <row r="886" spans="2:31" ht="15">
      <c r="B886" s="11"/>
      <c r="C886" s="11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1"/>
    </row>
    <row r="887" spans="2:31" ht="15">
      <c r="B887" s="11"/>
      <c r="C887" s="11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1"/>
    </row>
    <row r="888" spans="2:31" ht="15">
      <c r="B888" s="11"/>
      <c r="C888" s="11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1"/>
    </row>
    <row r="889" spans="2:31" ht="15">
      <c r="B889" s="11"/>
      <c r="C889" s="11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1"/>
    </row>
    <row r="890" spans="2:31" ht="15">
      <c r="B890" s="11"/>
      <c r="C890" s="11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1"/>
    </row>
    <row r="891" spans="2:31" ht="15">
      <c r="B891" s="11"/>
      <c r="C891" s="11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1"/>
    </row>
    <row r="892" spans="2:31" ht="15">
      <c r="B892" s="11"/>
      <c r="C892" s="11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1"/>
    </row>
    <row r="893" spans="2:31" ht="15">
      <c r="B893" s="11"/>
      <c r="C893" s="11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1"/>
    </row>
    <row r="894" spans="2:31" ht="15">
      <c r="B894" s="11"/>
      <c r="C894" s="11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1"/>
    </row>
    <row r="895" spans="2:31" ht="15">
      <c r="B895" s="11"/>
      <c r="C895" s="11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1"/>
    </row>
    <row r="896" spans="2:31" ht="15">
      <c r="B896" s="11"/>
      <c r="C896" s="11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1"/>
    </row>
    <row r="897" spans="2:31" ht="15">
      <c r="B897" s="11"/>
      <c r="C897" s="11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1"/>
    </row>
    <row r="898" spans="2:31" ht="15">
      <c r="B898" s="11"/>
      <c r="C898" s="11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1"/>
    </row>
    <row r="899" spans="2:31" ht="15">
      <c r="B899" s="11"/>
      <c r="C899" s="11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1"/>
    </row>
    <row r="900" spans="2:31" ht="15">
      <c r="B900" s="11"/>
      <c r="C900" s="11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1"/>
    </row>
    <row r="901" spans="2:31" ht="15">
      <c r="B901" s="11"/>
      <c r="C901" s="11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1"/>
    </row>
    <row r="902" spans="2:31" ht="15">
      <c r="B902" s="11"/>
      <c r="C902" s="11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1"/>
    </row>
    <row r="903" spans="2:31" ht="15">
      <c r="B903" s="11"/>
      <c r="C903" s="11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1"/>
    </row>
    <row r="904" spans="2:31" ht="15">
      <c r="B904" s="11"/>
      <c r="C904" s="11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1"/>
    </row>
    <row r="905" spans="2:31" ht="15">
      <c r="B905" s="11"/>
      <c r="C905" s="11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1"/>
    </row>
    <row r="906" spans="2:31" ht="15">
      <c r="B906" s="11"/>
      <c r="C906" s="11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1"/>
    </row>
    <row r="907" spans="2:31" ht="15">
      <c r="B907" s="11"/>
      <c r="C907" s="11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1"/>
    </row>
    <row r="908" spans="2:31" ht="15">
      <c r="B908" s="11"/>
      <c r="C908" s="11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1"/>
    </row>
    <row r="909" spans="2:31" ht="15">
      <c r="B909" s="11"/>
      <c r="C909" s="11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1"/>
    </row>
    <row r="910" spans="2:31" ht="15">
      <c r="B910" s="11"/>
      <c r="C910" s="11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1"/>
    </row>
    <row r="911" spans="2:31" ht="15">
      <c r="B911" s="11"/>
      <c r="C911" s="11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1"/>
    </row>
    <row r="912" spans="2:31" ht="15">
      <c r="B912" s="11"/>
      <c r="C912" s="11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1"/>
    </row>
    <row r="913" spans="2:31" ht="15">
      <c r="B913" s="11"/>
      <c r="C913" s="11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1"/>
    </row>
    <row r="914" spans="2:31" ht="15">
      <c r="B914" s="11"/>
      <c r="C914" s="11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1"/>
    </row>
    <row r="915" spans="2:31" ht="15">
      <c r="B915" s="11"/>
      <c r="C915" s="11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1"/>
    </row>
    <row r="916" spans="2:31" ht="15">
      <c r="B916" s="11"/>
      <c r="C916" s="11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1"/>
    </row>
    <row r="917" spans="2:31" ht="15">
      <c r="B917" s="11"/>
      <c r="C917" s="11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1"/>
    </row>
    <row r="918" spans="2:31" ht="15">
      <c r="B918" s="11"/>
      <c r="C918" s="11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1"/>
    </row>
    <row r="919" spans="2:31" ht="15">
      <c r="B919" s="11"/>
      <c r="C919" s="11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1"/>
    </row>
    <row r="920" spans="2:31" ht="15">
      <c r="B920" s="11"/>
      <c r="C920" s="11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1"/>
    </row>
    <row r="921" spans="2:31" ht="15">
      <c r="B921" s="11"/>
      <c r="C921" s="11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1"/>
    </row>
    <row r="922" spans="2:31" ht="15">
      <c r="B922" s="11"/>
      <c r="C922" s="11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1"/>
    </row>
    <row r="923" spans="2:31" ht="15">
      <c r="B923" s="11"/>
      <c r="C923" s="11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1"/>
    </row>
    <row r="924" spans="2:31" ht="15">
      <c r="B924" s="11"/>
      <c r="C924" s="11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1"/>
    </row>
    <row r="925" spans="2:31" ht="15">
      <c r="B925" s="11"/>
      <c r="C925" s="11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1"/>
    </row>
    <row r="926" spans="2:31" ht="15">
      <c r="B926" s="11"/>
      <c r="C926" s="11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1"/>
    </row>
    <row r="927" spans="2:31" ht="15">
      <c r="B927" s="11"/>
      <c r="C927" s="11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1"/>
    </row>
    <row r="928" spans="2:31" ht="15">
      <c r="B928" s="11"/>
      <c r="C928" s="11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1"/>
    </row>
    <row r="929" spans="2:31" ht="15">
      <c r="B929" s="11"/>
      <c r="C929" s="11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1"/>
    </row>
    <row r="930" spans="2:31" ht="15">
      <c r="B930" s="11"/>
      <c r="C930" s="11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1"/>
    </row>
    <row r="931" spans="2:31" ht="15">
      <c r="B931" s="11"/>
      <c r="C931" s="11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1"/>
    </row>
    <row r="932" spans="2:31" ht="15">
      <c r="B932" s="11"/>
      <c r="C932" s="11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1"/>
    </row>
    <row r="933" spans="2:31" ht="15">
      <c r="B933" s="11"/>
      <c r="C933" s="11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1"/>
    </row>
    <row r="934" spans="2:31" ht="15">
      <c r="B934" s="11"/>
      <c r="C934" s="11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1"/>
    </row>
    <row r="935" spans="2:31" ht="15">
      <c r="B935" s="11"/>
      <c r="C935" s="11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1"/>
    </row>
    <row r="936" spans="2:31" ht="15">
      <c r="B936" s="11"/>
      <c r="C936" s="11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1"/>
    </row>
    <row r="937" spans="2:31" ht="15">
      <c r="B937" s="11"/>
      <c r="C937" s="11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1"/>
    </row>
    <row r="938" spans="2:31" ht="15">
      <c r="B938" s="11"/>
      <c r="C938" s="11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1"/>
    </row>
    <row r="939" spans="2:31" ht="15">
      <c r="B939" s="11"/>
      <c r="C939" s="11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1"/>
    </row>
    <row r="940" spans="2:31" ht="15">
      <c r="B940" s="11"/>
      <c r="C940" s="11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1"/>
    </row>
    <row r="941" spans="2:31" ht="15">
      <c r="B941" s="11"/>
      <c r="C941" s="11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1"/>
    </row>
    <row r="942" spans="2:31" ht="15">
      <c r="B942" s="11"/>
      <c r="C942" s="11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1"/>
    </row>
    <row r="943" spans="2:31" ht="15">
      <c r="B943" s="11"/>
      <c r="C943" s="11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1"/>
    </row>
    <row r="944" spans="2:31" ht="15">
      <c r="B944" s="11"/>
      <c r="C944" s="11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1"/>
    </row>
    <row r="945" spans="2:31" ht="15">
      <c r="B945" s="11"/>
      <c r="C945" s="11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1"/>
    </row>
    <row r="946" spans="2:31" ht="15">
      <c r="B946" s="11"/>
      <c r="C946" s="11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1"/>
    </row>
    <row r="947" spans="2:31" ht="15">
      <c r="B947" s="11"/>
      <c r="C947" s="11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1"/>
    </row>
    <row r="948" spans="2:31" ht="15">
      <c r="B948" s="11"/>
      <c r="C948" s="11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1"/>
    </row>
    <row r="949" spans="2:31" ht="15">
      <c r="B949" s="11"/>
      <c r="C949" s="11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1"/>
    </row>
    <row r="950" spans="2:31" ht="15">
      <c r="B950" s="11"/>
      <c r="C950" s="11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1"/>
    </row>
    <row r="951" spans="2:31" ht="15">
      <c r="B951" s="11"/>
      <c r="C951" s="11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1"/>
    </row>
    <row r="952" spans="2:31" ht="15">
      <c r="B952" s="11"/>
      <c r="C952" s="11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1"/>
    </row>
    <row r="953" spans="2:31" ht="15">
      <c r="B953" s="11"/>
      <c r="C953" s="11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1"/>
    </row>
    <row r="954" spans="2:31" ht="15">
      <c r="B954" s="11"/>
      <c r="C954" s="11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1"/>
    </row>
    <row r="955" spans="2:31" ht="15">
      <c r="B955" s="11"/>
      <c r="C955" s="11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1"/>
    </row>
    <row r="956" spans="2:31" ht="15">
      <c r="B956" s="11"/>
      <c r="C956" s="11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1"/>
    </row>
    <row r="957" spans="2:31" ht="15">
      <c r="B957" s="11"/>
      <c r="C957" s="11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1"/>
    </row>
    <row r="958" spans="2:31" ht="15">
      <c r="B958" s="11"/>
      <c r="C958" s="11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1"/>
    </row>
    <row r="959" spans="2:31" ht="15">
      <c r="B959" s="11"/>
      <c r="C959" s="11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1"/>
    </row>
    <row r="960" spans="2:31" ht="15">
      <c r="B960" s="11"/>
      <c r="C960" s="11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1"/>
    </row>
    <row r="961" spans="2:31" ht="15">
      <c r="B961" s="11"/>
      <c r="C961" s="11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1"/>
    </row>
    <row r="962" spans="2:31" ht="15">
      <c r="B962" s="11"/>
      <c r="C962" s="11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1"/>
    </row>
    <row r="963" spans="2:31" ht="15">
      <c r="B963" s="11"/>
      <c r="C963" s="11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1"/>
    </row>
    <row r="964" spans="2:31" ht="15">
      <c r="B964" s="11"/>
      <c r="C964" s="11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1"/>
    </row>
    <row r="965" spans="2:31" ht="15">
      <c r="B965" s="11"/>
      <c r="C965" s="11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1"/>
    </row>
    <row r="966" spans="2:31" ht="15">
      <c r="B966" s="11"/>
      <c r="C966" s="11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1"/>
    </row>
    <row r="967" spans="2:31" ht="15">
      <c r="B967" s="11"/>
      <c r="C967" s="11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1"/>
    </row>
    <row r="968" spans="2:31" ht="15">
      <c r="B968" s="11"/>
      <c r="C968" s="11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1"/>
    </row>
    <row r="969" spans="2:31" ht="15">
      <c r="B969" s="11"/>
      <c r="C969" s="11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1"/>
    </row>
    <row r="970" spans="2:31" ht="15">
      <c r="B970" s="11"/>
      <c r="C970" s="11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1"/>
    </row>
    <row r="971" spans="2:31" ht="15">
      <c r="B971" s="11"/>
      <c r="C971" s="11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1"/>
    </row>
    <row r="972" spans="2:31" ht="15">
      <c r="B972" s="11"/>
      <c r="C972" s="11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1"/>
    </row>
    <row r="973" spans="2:31" ht="15">
      <c r="B973" s="11"/>
      <c r="C973" s="11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1"/>
    </row>
    <row r="974" spans="2:31" ht="15">
      <c r="B974" s="11"/>
      <c r="C974" s="11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1"/>
    </row>
    <row r="975" spans="2:31" ht="15">
      <c r="B975" s="11"/>
      <c r="C975" s="11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1"/>
    </row>
    <row r="976" spans="2:31" ht="15">
      <c r="B976" s="11"/>
      <c r="C976" s="11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1"/>
    </row>
    <row r="977" spans="2:31" ht="15">
      <c r="B977" s="11"/>
      <c r="C977" s="11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1"/>
    </row>
    <row r="978" spans="2:31" ht="15">
      <c r="B978" s="11"/>
      <c r="C978" s="11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1"/>
    </row>
    <row r="979" spans="2:31" ht="15">
      <c r="B979" s="11"/>
      <c r="C979" s="11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1"/>
    </row>
    <row r="980" spans="2:31" ht="15">
      <c r="B980" s="11"/>
      <c r="C980" s="11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1"/>
    </row>
    <row r="981" spans="2:31" ht="15">
      <c r="B981" s="11"/>
      <c r="C981" s="11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1"/>
    </row>
    <row r="982" spans="2:31" ht="15">
      <c r="B982" s="11"/>
      <c r="C982" s="11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1"/>
    </row>
    <row r="983" spans="2:31" ht="15">
      <c r="B983" s="11"/>
      <c r="C983" s="11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1"/>
    </row>
    <row r="984" spans="2:31" ht="15">
      <c r="B984" s="11"/>
      <c r="C984" s="11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1"/>
    </row>
    <row r="985" spans="2:31" ht="15">
      <c r="B985" s="11"/>
      <c r="C985" s="11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1"/>
    </row>
    <row r="986" spans="2:31" ht="15">
      <c r="B986" s="11"/>
      <c r="C986" s="11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1"/>
    </row>
    <row r="987" spans="2:31" ht="15">
      <c r="B987" s="11"/>
      <c r="C987" s="11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1"/>
    </row>
    <row r="988" spans="2:31" ht="15">
      <c r="B988" s="11"/>
      <c r="C988" s="11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1"/>
    </row>
    <row r="989" spans="2:31" ht="15">
      <c r="B989" s="11"/>
      <c r="C989" s="11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1"/>
    </row>
    <row r="990" spans="2:31" ht="15">
      <c r="B990" s="11"/>
      <c r="C990" s="11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1"/>
    </row>
    <row r="991" spans="2:31" ht="15">
      <c r="B991" s="11"/>
      <c r="C991" s="11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1"/>
    </row>
    <row r="992" spans="2:31" ht="15">
      <c r="B992" s="11"/>
      <c r="C992" s="11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1"/>
    </row>
    <row r="993" spans="2:31" ht="15">
      <c r="B993" s="11"/>
      <c r="C993" s="11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1"/>
    </row>
    <row r="994" spans="2:31" ht="15">
      <c r="B994" s="11"/>
      <c r="C994" s="11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1"/>
    </row>
    <row r="995" spans="2:31" ht="15">
      <c r="B995" s="11"/>
      <c r="C995" s="11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1"/>
    </row>
    <row r="996" spans="2:31" ht="15">
      <c r="B996" s="11"/>
      <c r="C996" s="11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1"/>
    </row>
    <row r="997" spans="2:31" ht="15">
      <c r="B997" s="11"/>
      <c r="C997" s="11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1"/>
    </row>
    <row r="998" spans="2:31" ht="15">
      <c r="B998" s="11"/>
      <c r="C998" s="11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1"/>
    </row>
    <row r="999" spans="2:31" ht="15">
      <c r="B999" s="11"/>
      <c r="C999" s="11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1"/>
    </row>
    <row r="1000" spans="2:31" ht="15">
      <c r="B1000" s="11"/>
      <c r="C1000" s="11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1"/>
    </row>
    <row r="1001" spans="2:31" ht="15">
      <c r="B1001" s="11"/>
      <c r="C1001" s="11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1"/>
    </row>
    <row r="1002" spans="2:31" ht="15">
      <c r="B1002" s="11"/>
      <c r="C1002" s="11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  <c r="AA1002" s="12"/>
      <c r="AB1002" s="12"/>
      <c r="AC1002" s="12"/>
      <c r="AD1002" s="12"/>
      <c r="AE1002" s="11"/>
    </row>
    <row r="1003" spans="2:31" ht="15">
      <c r="B1003" s="11"/>
      <c r="C1003" s="11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  <c r="AA1003" s="12"/>
      <c r="AB1003" s="12"/>
      <c r="AC1003" s="12"/>
      <c r="AD1003" s="12"/>
      <c r="AE1003" s="11"/>
    </row>
    <row r="1004" spans="2:31" ht="15">
      <c r="B1004" s="11"/>
      <c r="C1004" s="11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12"/>
      <c r="AB1004" s="12"/>
      <c r="AC1004" s="12"/>
      <c r="AD1004" s="12"/>
      <c r="AE1004" s="11"/>
    </row>
    <row r="1005" spans="2:31" ht="15">
      <c r="B1005" s="11"/>
      <c r="C1005" s="11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  <c r="AA1005" s="12"/>
      <c r="AB1005" s="12"/>
      <c r="AC1005" s="12"/>
      <c r="AD1005" s="12"/>
      <c r="AE1005" s="11"/>
    </row>
    <row r="1006" spans="2:31" ht="15">
      <c r="B1006" s="11"/>
      <c r="C1006" s="11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  <c r="AA1006" s="12"/>
      <c r="AB1006" s="12"/>
      <c r="AC1006" s="12"/>
      <c r="AD1006" s="12"/>
      <c r="AE1006" s="11"/>
    </row>
    <row r="1007" spans="2:31" ht="15">
      <c r="B1007" s="11"/>
      <c r="C1007" s="11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12"/>
      <c r="AB1007" s="12"/>
      <c r="AC1007" s="12"/>
      <c r="AD1007" s="12"/>
      <c r="AE1007" s="11"/>
    </row>
    <row r="1008" spans="2:31" ht="15">
      <c r="B1008" s="11"/>
      <c r="C1008" s="11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  <c r="AA1008" s="12"/>
      <c r="AB1008" s="12"/>
      <c r="AC1008" s="12"/>
      <c r="AD1008" s="12"/>
      <c r="AE1008" s="11"/>
    </row>
    <row r="1009" spans="2:31" ht="15">
      <c r="B1009" s="11"/>
      <c r="C1009" s="11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  <c r="AA1009" s="12"/>
      <c r="AB1009" s="12"/>
      <c r="AC1009" s="12"/>
      <c r="AD1009" s="12"/>
      <c r="AE1009" s="11"/>
    </row>
    <row r="1010" spans="2:31" ht="15">
      <c r="B1010" s="11"/>
      <c r="C1010" s="11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1"/>
    </row>
    <row r="1011" spans="2:31" ht="15">
      <c r="B1011" s="11"/>
      <c r="C1011" s="11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  <c r="AA1011" s="12"/>
      <c r="AB1011" s="12"/>
      <c r="AC1011" s="12"/>
      <c r="AD1011" s="12"/>
      <c r="AE1011" s="11"/>
    </row>
    <row r="1012" spans="2:31" ht="15">
      <c r="B1012" s="11"/>
      <c r="C1012" s="11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  <c r="AA1012" s="12"/>
      <c r="AB1012" s="12"/>
      <c r="AC1012" s="12"/>
      <c r="AD1012" s="12"/>
      <c r="AE1012" s="11"/>
    </row>
    <row r="1013" spans="2:31" ht="15">
      <c r="B1013" s="11"/>
      <c r="C1013" s="11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1"/>
    </row>
    <row r="1014" spans="2:31" ht="15">
      <c r="B1014" s="11"/>
      <c r="C1014" s="11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  <c r="AA1014" s="12"/>
      <c r="AB1014" s="12"/>
      <c r="AC1014" s="12"/>
      <c r="AD1014" s="12"/>
      <c r="AE1014" s="11"/>
    </row>
    <row r="1015" spans="2:31" ht="15">
      <c r="B1015" s="11"/>
      <c r="C1015" s="11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  <c r="AA1015" s="12"/>
      <c r="AB1015" s="12"/>
      <c r="AC1015" s="12"/>
      <c r="AD1015" s="12"/>
      <c r="AE1015" s="11"/>
    </row>
    <row r="1016" spans="2:31" ht="15">
      <c r="B1016" s="11"/>
      <c r="C1016" s="11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12"/>
      <c r="AB1016" s="12"/>
      <c r="AC1016" s="12"/>
      <c r="AD1016" s="12"/>
      <c r="AE1016" s="11"/>
    </row>
    <row r="1017" spans="2:31" ht="15">
      <c r="B1017" s="11"/>
      <c r="C1017" s="11"/>
      <c r="P1017" s="12"/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  <c r="AA1017" s="12"/>
      <c r="AB1017" s="12"/>
      <c r="AC1017" s="12"/>
      <c r="AD1017" s="12"/>
      <c r="AE1017" s="11"/>
    </row>
    <row r="1018" spans="2:31" ht="15">
      <c r="B1018" s="11"/>
      <c r="C1018" s="11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  <c r="AA1018" s="12"/>
      <c r="AB1018" s="12"/>
      <c r="AC1018" s="12"/>
      <c r="AD1018" s="12"/>
      <c r="AE1018" s="11"/>
    </row>
    <row r="1019" spans="2:31" ht="15">
      <c r="B1019" s="11"/>
      <c r="C1019" s="11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  <c r="AA1019" s="12"/>
      <c r="AB1019" s="12"/>
      <c r="AC1019" s="12"/>
      <c r="AD1019" s="12"/>
      <c r="AE1019" s="11"/>
    </row>
    <row r="1020" spans="2:31" ht="15">
      <c r="B1020" s="11"/>
      <c r="C1020" s="11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  <c r="AA1020" s="12"/>
      <c r="AB1020" s="12"/>
      <c r="AC1020" s="12"/>
      <c r="AD1020" s="12"/>
      <c r="AE1020" s="11"/>
    </row>
    <row r="1021" spans="2:31" ht="15">
      <c r="B1021" s="11"/>
      <c r="C1021" s="11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  <c r="AA1021" s="12"/>
      <c r="AB1021" s="12"/>
      <c r="AC1021" s="12"/>
      <c r="AD1021" s="12"/>
      <c r="AE1021" s="11"/>
    </row>
    <row r="1022" spans="2:31" ht="15">
      <c r="B1022" s="11"/>
      <c r="C1022" s="11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1"/>
    </row>
    <row r="1023" spans="2:31" ht="15">
      <c r="B1023" s="11"/>
      <c r="C1023" s="11"/>
      <c r="P1023" s="12"/>
      <c r="Q1023" s="12"/>
      <c r="R1023" s="12"/>
      <c r="S1023" s="12"/>
      <c r="T1023" s="12"/>
      <c r="U1023" s="12"/>
      <c r="V1023" s="12"/>
      <c r="W1023" s="12"/>
      <c r="X1023" s="12"/>
      <c r="Y1023" s="12"/>
      <c r="Z1023" s="12"/>
      <c r="AA1023" s="12"/>
      <c r="AB1023" s="12"/>
      <c r="AC1023" s="12"/>
      <c r="AD1023" s="12"/>
      <c r="AE1023" s="11"/>
    </row>
    <row r="1024" spans="2:31" ht="15">
      <c r="B1024" s="11"/>
      <c r="C1024" s="11"/>
      <c r="P1024" s="12"/>
      <c r="Q1024" s="12"/>
      <c r="R1024" s="12"/>
      <c r="S1024" s="12"/>
      <c r="T1024" s="12"/>
      <c r="U1024" s="12"/>
      <c r="V1024" s="12"/>
      <c r="W1024" s="12"/>
      <c r="X1024" s="12"/>
      <c r="Y1024" s="12"/>
      <c r="Z1024" s="12"/>
      <c r="AA1024" s="12"/>
      <c r="AB1024" s="12"/>
      <c r="AC1024" s="12"/>
      <c r="AD1024" s="12"/>
      <c r="AE1024" s="11"/>
    </row>
    <row r="1025" spans="2:31" ht="15">
      <c r="B1025" s="11"/>
      <c r="C1025" s="11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  <c r="AA1025" s="12"/>
      <c r="AB1025" s="12"/>
      <c r="AC1025" s="12"/>
      <c r="AD1025" s="12"/>
      <c r="AE1025" s="11"/>
    </row>
    <row r="1026" spans="2:31" ht="15">
      <c r="B1026" s="11"/>
      <c r="C1026" s="11"/>
      <c r="P1026" s="12"/>
      <c r="Q1026" s="12"/>
      <c r="R1026" s="12"/>
      <c r="S1026" s="12"/>
      <c r="T1026" s="12"/>
      <c r="U1026" s="12"/>
      <c r="V1026" s="12"/>
      <c r="W1026" s="12"/>
      <c r="X1026" s="12"/>
      <c r="Y1026" s="12"/>
      <c r="Z1026" s="12"/>
      <c r="AA1026" s="12"/>
      <c r="AB1026" s="12"/>
      <c r="AC1026" s="12"/>
      <c r="AD1026" s="12"/>
      <c r="AE1026" s="11"/>
    </row>
    <row r="1027" spans="2:31" ht="15">
      <c r="B1027" s="11"/>
      <c r="C1027" s="11"/>
      <c r="P1027" s="12"/>
      <c r="Q1027" s="12"/>
      <c r="R1027" s="12"/>
      <c r="S1027" s="12"/>
      <c r="T1027" s="12"/>
      <c r="U1027" s="12"/>
      <c r="V1027" s="12"/>
      <c r="W1027" s="12"/>
      <c r="X1027" s="12"/>
      <c r="Y1027" s="12"/>
      <c r="Z1027" s="12"/>
      <c r="AA1027" s="12"/>
      <c r="AB1027" s="12"/>
      <c r="AC1027" s="12"/>
      <c r="AD1027" s="12"/>
      <c r="AE1027" s="11"/>
    </row>
    <row r="1028" spans="2:31" ht="15">
      <c r="B1028" s="11"/>
      <c r="C1028" s="11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1"/>
    </row>
    <row r="1029" spans="2:31" ht="15">
      <c r="B1029" s="11"/>
      <c r="C1029" s="11"/>
      <c r="P1029" s="12"/>
      <c r="Q1029" s="12"/>
      <c r="R1029" s="12"/>
      <c r="S1029" s="12"/>
      <c r="T1029" s="12"/>
      <c r="U1029" s="12"/>
      <c r="V1029" s="12"/>
      <c r="W1029" s="12"/>
      <c r="X1029" s="12"/>
      <c r="Y1029" s="12"/>
      <c r="Z1029" s="12"/>
      <c r="AA1029" s="12"/>
      <c r="AB1029" s="12"/>
      <c r="AC1029" s="12"/>
      <c r="AD1029" s="12"/>
      <c r="AE1029" s="11"/>
    </row>
    <row r="1030" spans="2:31" ht="15">
      <c r="B1030" s="11"/>
      <c r="C1030" s="11"/>
      <c r="P1030" s="12"/>
      <c r="Q1030" s="12"/>
      <c r="R1030" s="12"/>
      <c r="S1030" s="12"/>
      <c r="T1030" s="12"/>
      <c r="U1030" s="12"/>
      <c r="V1030" s="12"/>
      <c r="W1030" s="12"/>
      <c r="X1030" s="12"/>
      <c r="Y1030" s="12"/>
      <c r="Z1030" s="12"/>
      <c r="AA1030" s="12"/>
      <c r="AB1030" s="12"/>
      <c r="AC1030" s="12"/>
      <c r="AD1030" s="12"/>
      <c r="AE1030" s="11"/>
    </row>
    <row r="1031" spans="2:31" ht="15">
      <c r="B1031" s="11"/>
      <c r="C1031" s="11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1"/>
    </row>
    <row r="1032" spans="2:31" ht="15">
      <c r="B1032" s="11"/>
      <c r="C1032" s="11"/>
      <c r="P1032" s="12"/>
      <c r="Q1032" s="12"/>
      <c r="R1032" s="12"/>
      <c r="S1032" s="12"/>
      <c r="T1032" s="12"/>
      <c r="U1032" s="12"/>
      <c r="V1032" s="12"/>
      <c r="W1032" s="12"/>
      <c r="X1032" s="12"/>
      <c r="Y1032" s="12"/>
      <c r="Z1032" s="12"/>
      <c r="AA1032" s="12"/>
      <c r="AB1032" s="12"/>
      <c r="AC1032" s="12"/>
      <c r="AD1032" s="12"/>
      <c r="AE1032" s="11"/>
    </row>
    <row r="1033" spans="2:31" ht="15">
      <c r="B1033" s="11"/>
      <c r="C1033" s="11"/>
      <c r="P1033" s="12"/>
      <c r="Q1033" s="12"/>
      <c r="R1033" s="12"/>
      <c r="S1033" s="12"/>
      <c r="T1033" s="12"/>
      <c r="U1033" s="12"/>
      <c r="V1033" s="12"/>
      <c r="W1033" s="12"/>
      <c r="X1033" s="12"/>
      <c r="Y1033" s="12"/>
      <c r="Z1033" s="12"/>
      <c r="AA1033" s="12"/>
      <c r="AB1033" s="12"/>
      <c r="AC1033" s="12"/>
      <c r="AD1033" s="12"/>
      <c r="AE1033" s="11"/>
    </row>
    <row r="1034" spans="2:31" ht="15">
      <c r="B1034" s="11"/>
      <c r="C1034" s="11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1"/>
    </row>
    <row r="1035" spans="2:31" ht="15">
      <c r="B1035" s="11"/>
      <c r="C1035" s="11"/>
      <c r="P1035" s="12"/>
      <c r="Q1035" s="12"/>
      <c r="R1035" s="12"/>
      <c r="S1035" s="12"/>
      <c r="T1035" s="12"/>
      <c r="U1035" s="12"/>
      <c r="V1035" s="12"/>
      <c r="W1035" s="12"/>
      <c r="X1035" s="12"/>
      <c r="Y1035" s="12"/>
      <c r="Z1035" s="12"/>
      <c r="AA1035" s="12"/>
      <c r="AB1035" s="12"/>
      <c r="AC1035" s="12"/>
      <c r="AD1035" s="12"/>
      <c r="AE1035" s="11"/>
    </row>
    <row r="1036" spans="2:31" ht="15">
      <c r="B1036" s="11"/>
      <c r="C1036" s="11"/>
      <c r="P1036" s="12"/>
      <c r="Q1036" s="12"/>
      <c r="R1036" s="12"/>
      <c r="S1036" s="12"/>
      <c r="T1036" s="12"/>
      <c r="U1036" s="12"/>
      <c r="V1036" s="12"/>
      <c r="W1036" s="12"/>
      <c r="X1036" s="12"/>
      <c r="Y1036" s="12"/>
      <c r="Z1036" s="12"/>
      <c r="AA1036" s="12"/>
      <c r="AB1036" s="12"/>
      <c r="AC1036" s="12"/>
      <c r="AD1036" s="12"/>
      <c r="AE1036" s="11"/>
    </row>
    <row r="1037" spans="2:31" ht="15">
      <c r="B1037" s="11"/>
      <c r="C1037" s="11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  <c r="AA1037" s="12"/>
      <c r="AB1037" s="12"/>
      <c r="AC1037" s="12"/>
      <c r="AD1037" s="12"/>
      <c r="AE1037" s="11"/>
    </row>
    <row r="1038" spans="2:31" ht="15">
      <c r="B1038" s="11"/>
      <c r="C1038" s="11"/>
      <c r="P1038" s="12"/>
      <c r="Q1038" s="12"/>
      <c r="R1038" s="12"/>
      <c r="S1038" s="12"/>
      <c r="T1038" s="12"/>
      <c r="U1038" s="12"/>
      <c r="V1038" s="12"/>
      <c r="W1038" s="12"/>
      <c r="X1038" s="12"/>
      <c r="Y1038" s="12"/>
      <c r="Z1038" s="12"/>
      <c r="AA1038" s="12"/>
      <c r="AB1038" s="12"/>
      <c r="AC1038" s="12"/>
      <c r="AD1038" s="12"/>
      <c r="AE1038" s="11"/>
    </row>
    <row r="1039" spans="2:31" ht="15">
      <c r="B1039" s="11"/>
      <c r="C1039" s="11"/>
      <c r="P1039" s="12"/>
      <c r="Q1039" s="12"/>
      <c r="R1039" s="12"/>
      <c r="S1039" s="12"/>
      <c r="T1039" s="12"/>
      <c r="U1039" s="12"/>
      <c r="V1039" s="12"/>
      <c r="W1039" s="12"/>
      <c r="X1039" s="12"/>
      <c r="Y1039" s="12"/>
      <c r="Z1039" s="12"/>
      <c r="AA1039" s="12"/>
      <c r="AB1039" s="12"/>
      <c r="AC1039" s="12"/>
      <c r="AD1039" s="12"/>
      <c r="AE1039" s="11"/>
    </row>
    <row r="1040" spans="2:31" ht="15">
      <c r="B1040" s="11"/>
      <c r="C1040" s="11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  <c r="AA1040" s="12"/>
      <c r="AB1040" s="12"/>
      <c r="AC1040" s="12"/>
      <c r="AD1040" s="12"/>
      <c r="AE1040" s="11"/>
    </row>
    <row r="1041" spans="2:31" ht="15">
      <c r="B1041" s="11"/>
      <c r="C1041" s="11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  <c r="AA1041" s="12"/>
      <c r="AB1041" s="12"/>
      <c r="AC1041" s="12"/>
      <c r="AD1041" s="12"/>
      <c r="AE1041" s="11"/>
    </row>
    <row r="1042" spans="2:31" ht="15">
      <c r="B1042" s="11"/>
      <c r="C1042" s="11"/>
      <c r="P1042" s="12"/>
      <c r="Q1042" s="12"/>
      <c r="R1042" s="12"/>
      <c r="S1042" s="12"/>
      <c r="T1042" s="12"/>
      <c r="U1042" s="12"/>
      <c r="V1042" s="12"/>
      <c r="W1042" s="12"/>
      <c r="X1042" s="12"/>
      <c r="Y1042" s="12"/>
      <c r="Z1042" s="12"/>
      <c r="AA1042" s="12"/>
      <c r="AB1042" s="12"/>
      <c r="AC1042" s="12"/>
      <c r="AD1042" s="12"/>
      <c r="AE1042" s="11"/>
    </row>
    <row r="1043" spans="2:31" ht="15">
      <c r="B1043" s="11"/>
      <c r="C1043" s="11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  <c r="AA1043" s="12"/>
      <c r="AB1043" s="12"/>
      <c r="AC1043" s="12"/>
      <c r="AD1043" s="12"/>
      <c r="AE1043" s="11"/>
    </row>
    <row r="1044" spans="2:31" ht="15">
      <c r="B1044" s="11"/>
      <c r="C1044" s="11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  <c r="AA1044" s="12"/>
      <c r="AB1044" s="12"/>
      <c r="AC1044" s="12"/>
      <c r="AD1044" s="12"/>
      <c r="AE1044" s="11"/>
    </row>
    <row r="1045" spans="2:31" ht="15">
      <c r="B1045" s="11"/>
      <c r="C1045" s="11"/>
      <c r="P1045" s="12"/>
      <c r="Q1045" s="12"/>
      <c r="R1045" s="12"/>
      <c r="S1045" s="12"/>
      <c r="T1045" s="12"/>
      <c r="U1045" s="12"/>
      <c r="V1045" s="12"/>
      <c r="W1045" s="12"/>
      <c r="X1045" s="12"/>
      <c r="Y1045" s="12"/>
      <c r="Z1045" s="12"/>
      <c r="AA1045" s="12"/>
      <c r="AB1045" s="12"/>
      <c r="AC1045" s="12"/>
      <c r="AD1045" s="12"/>
      <c r="AE1045" s="11"/>
    </row>
    <row r="1046" spans="2:31" ht="15">
      <c r="B1046" s="11"/>
      <c r="C1046" s="11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  <c r="AA1046" s="12"/>
      <c r="AB1046" s="12"/>
      <c r="AC1046" s="12"/>
      <c r="AD1046" s="12"/>
      <c r="AE1046" s="11"/>
    </row>
    <row r="1047" spans="2:31" ht="15">
      <c r="B1047" s="11"/>
      <c r="C1047" s="11"/>
      <c r="P1047" s="12"/>
      <c r="Q1047" s="12"/>
      <c r="R1047" s="12"/>
      <c r="S1047" s="12"/>
      <c r="T1047" s="12"/>
      <c r="U1047" s="12"/>
      <c r="V1047" s="12"/>
      <c r="W1047" s="12"/>
      <c r="X1047" s="12"/>
      <c r="Y1047" s="12"/>
      <c r="Z1047" s="12"/>
      <c r="AA1047" s="12"/>
      <c r="AB1047" s="12"/>
      <c r="AC1047" s="12"/>
      <c r="AD1047" s="12"/>
      <c r="AE1047" s="11"/>
    </row>
    <row r="1048" spans="2:31" ht="15">
      <c r="B1048" s="11"/>
      <c r="C1048" s="11"/>
      <c r="P1048" s="12"/>
      <c r="Q1048" s="12"/>
      <c r="R1048" s="12"/>
      <c r="S1048" s="12"/>
      <c r="T1048" s="12"/>
      <c r="U1048" s="12"/>
      <c r="V1048" s="12"/>
      <c r="W1048" s="12"/>
      <c r="X1048" s="12"/>
      <c r="Y1048" s="12"/>
      <c r="Z1048" s="12"/>
      <c r="AA1048" s="12"/>
      <c r="AB1048" s="12"/>
      <c r="AC1048" s="12"/>
      <c r="AD1048" s="12"/>
      <c r="AE1048" s="11"/>
    </row>
    <row r="1049" spans="2:31" ht="15">
      <c r="B1049" s="11"/>
      <c r="C1049" s="11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  <c r="AA1049" s="12"/>
      <c r="AB1049" s="12"/>
      <c r="AC1049" s="12"/>
      <c r="AD1049" s="12"/>
      <c r="AE1049" s="11"/>
    </row>
    <row r="1050" spans="2:31" ht="15">
      <c r="B1050" s="11"/>
      <c r="C1050" s="11"/>
      <c r="P1050" s="12"/>
      <c r="Q1050" s="12"/>
      <c r="R1050" s="12"/>
      <c r="S1050" s="12"/>
      <c r="T1050" s="12"/>
      <c r="U1050" s="12"/>
      <c r="V1050" s="12"/>
      <c r="W1050" s="12"/>
      <c r="X1050" s="12"/>
      <c r="Y1050" s="12"/>
      <c r="Z1050" s="12"/>
      <c r="AA1050" s="12"/>
      <c r="AB1050" s="12"/>
      <c r="AC1050" s="12"/>
      <c r="AD1050" s="12"/>
      <c r="AE1050" s="11"/>
    </row>
    <row r="1051" spans="2:31" ht="15">
      <c r="B1051" s="11"/>
      <c r="C1051" s="11"/>
      <c r="P1051" s="12"/>
      <c r="Q1051" s="12"/>
      <c r="R1051" s="12"/>
      <c r="S1051" s="12"/>
      <c r="T1051" s="12"/>
      <c r="U1051" s="12"/>
      <c r="V1051" s="12"/>
      <c r="W1051" s="12"/>
      <c r="X1051" s="12"/>
      <c r="Y1051" s="12"/>
      <c r="Z1051" s="12"/>
      <c r="AA1051" s="12"/>
      <c r="AB1051" s="12"/>
      <c r="AC1051" s="12"/>
      <c r="AD1051" s="12"/>
      <c r="AE1051" s="11"/>
    </row>
    <row r="1052" spans="2:31" ht="15">
      <c r="B1052" s="11"/>
      <c r="C1052" s="11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  <c r="AA1052" s="12"/>
      <c r="AB1052" s="12"/>
      <c r="AC1052" s="12"/>
      <c r="AD1052" s="12"/>
      <c r="AE1052" s="11"/>
    </row>
    <row r="1053" spans="2:31" ht="15">
      <c r="B1053" s="11"/>
      <c r="C1053" s="11"/>
      <c r="P1053" s="12"/>
      <c r="Q1053" s="12"/>
      <c r="R1053" s="12"/>
      <c r="S1053" s="12"/>
      <c r="T1053" s="12"/>
      <c r="U1053" s="12"/>
      <c r="V1053" s="12"/>
      <c r="W1053" s="12"/>
      <c r="X1053" s="12"/>
      <c r="Y1053" s="12"/>
      <c r="Z1053" s="12"/>
      <c r="AA1053" s="12"/>
      <c r="AB1053" s="12"/>
      <c r="AC1053" s="12"/>
      <c r="AD1053" s="12"/>
      <c r="AE1053" s="11"/>
    </row>
    <row r="1054" spans="2:31" ht="15">
      <c r="B1054" s="11"/>
      <c r="C1054" s="11"/>
      <c r="P1054" s="12"/>
      <c r="Q1054" s="12"/>
      <c r="R1054" s="12"/>
      <c r="S1054" s="12"/>
      <c r="T1054" s="12"/>
      <c r="U1054" s="12"/>
      <c r="V1054" s="12"/>
      <c r="W1054" s="12"/>
      <c r="X1054" s="12"/>
      <c r="Y1054" s="12"/>
      <c r="Z1054" s="12"/>
      <c r="AA1054" s="12"/>
      <c r="AB1054" s="12"/>
      <c r="AC1054" s="12"/>
      <c r="AD1054" s="12"/>
      <c r="AE1054" s="11"/>
    </row>
    <row r="1055" spans="2:31" ht="15">
      <c r="B1055" s="11"/>
      <c r="C1055" s="11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  <c r="AA1055" s="12"/>
      <c r="AB1055" s="12"/>
      <c r="AC1055" s="12"/>
      <c r="AD1055" s="12"/>
      <c r="AE1055" s="11"/>
    </row>
    <row r="1056" spans="2:31" ht="15">
      <c r="B1056" s="11"/>
      <c r="C1056" s="11"/>
      <c r="P1056" s="12"/>
      <c r="Q1056" s="12"/>
      <c r="R1056" s="12"/>
      <c r="S1056" s="12"/>
      <c r="T1056" s="12"/>
      <c r="U1056" s="12"/>
      <c r="V1056" s="12"/>
      <c r="W1056" s="12"/>
      <c r="X1056" s="12"/>
      <c r="Y1056" s="12"/>
      <c r="Z1056" s="12"/>
      <c r="AA1056" s="12"/>
      <c r="AB1056" s="12"/>
      <c r="AC1056" s="12"/>
      <c r="AD1056" s="12"/>
      <c r="AE1056" s="11"/>
    </row>
    <row r="1057" spans="2:31" ht="15">
      <c r="B1057" s="11"/>
      <c r="C1057" s="11"/>
      <c r="P1057" s="12"/>
      <c r="Q1057" s="12"/>
      <c r="R1057" s="12"/>
      <c r="S1057" s="12"/>
      <c r="T1057" s="12"/>
      <c r="U1057" s="12"/>
      <c r="V1057" s="12"/>
      <c r="W1057" s="12"/>
      <c r="X1057" s="12"/>
      <c r="Y1057" s="12"/>
      <c r="Z1057" s="12"/>
      <c r="AA1057" s="12"/>
      <c r="AB1057" s="12"/>
      <c r="AC1057" s="12"/>
      <c r="AD1057" s="12"/>
      <c r="AE1057" s="11"/>
    </row>
    <row r="1058" spans="2:31" ht="15">
      <c r="B1058" s="11"/>
      <c r="C1058" s="11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  <c r="AA1058" s="12"/>
      <c r="AB1058" s="12"/>
      <c r="AC1058" s="12"/>
      <c r="AD1058" s="12"/>
      <c r="AE1058" s="11"/>
    </row>
    <row r="1059" spans="2:31" ht="15">
      <c r="B1059" s="11"/>
      <c r="C1059" s="11"/>
      <c r="P1059" s="12"/>
      <c r="Q1059" s="12"/>
      <c r="R1059" s="12"/>
      <c r="S1059" s="12"/>
      <c r="T1059" s="12"/>
      <c r="U1059" s="12"/>
      <c r="V1059" s="12"/>
      <c r="W1059" s="12"/>
      <c r="X1059" s="12"/>
      <c r="Y1059" s="12"/>
      <c r="Z1059" s="12"/>
      <c r="AA1059" s="12"/>
      <c r="AB1059" s="12"/>
      <c r="AC1059" s="12"/>
      <c r="AD1059" s="12"/>
      <c r="AE1059" s="11"/>
    </row>
    <row r="1060" spans="2:31" ht="15">
      <c r="B1060" s="11"/>
      <c r="C1060" s="11"/>
      <c r="P1060" s="12"/>
      <c r="Q1060" s="12"/>
      <c r="R1060" s="12"/>
      <c r="S1060" s="12"/>
      <c r="T1060" s="12"/>
      <c r="U1060" s="12"/>
      <c r="V1060" s="12"/>
      <c r="W1060" s="12"/>
      <c r="X1060" s="12"/>
      <c r="Y1060" s="12"/>
      <c r="Z1060" s="12"/>
      <c r="AA1060" s="12"/>
      <c r="AB1060" s="12"/>
      <c r="AC1060" s="12"/>
      <c r="AD1060" s="12"/>
      <c r="AE1060" s="11"/>
    </row>
    <row r="1061" spans="2:31" ht="15">
      <c r="B1061" s="11"/>
      <c r="C1061" s="11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  <c r="AA1061" s="12"/>
      <c r="AB1061" s="12"/>
      <c r="AC1061" s="12"/>
      <c r="AD1061" s="12"/>
      <c r="AE1061" s="11"/>
    </row>
    <row r="1062" spans="2:31" ht="15">
      <c r="B1062" s="11"/>
      <c r="C1062" s="11"/>
      <c r="P1062" s="12"/>
      <c r="Q1062" s="12"/>
      <c r="R1062" s="12"/>
      <c r="S1062" s="12"/>
      <c r="T1062" s="12"/>
      <c r="U1062" s="12"/>
      <c r="V1062" s="12"/>
      <c r="W1062" s="12"/>
      <c r="X1062" s="12"/>
      <c r="Y1062" s="12"/>
      <c r="Z1062" s="12"/>
      <c r="AA1062" s="12"/>
      <c r="AB1062" s="12"/>
      <c r="AC1062" s="12"/>
      <c r="AD1062" s="12"/>
      <c r="AE1062" s="11"/>
    </row>
    <row r="1063" spans="2:31" ht="15">
      <c r="B1063" s="11"/>
      <c r="C1063" s="11"/>
      <c r="P1063" s="12"/>
      <c r="Q1063" s="12"/>
      <c r="R1063" s="12"/>
      <c r="S1063" s="12"/>
      <c r="T1063" s="12"/>
      <c r="U1063" s="12"/>
      <c r="V1063" s="12"/>
      <c r="W1063" s="12"/>
      <c r="X1063" s="12"/>
      <c r="Y1063" s="12"/>
      <c r="Z1063" s="12"/>
      <c r="AA1063" s="12"/>
      <c r="AB1063" s="12"/>
      <c r="AC1063" s="12"/>
      <c r="AD1063" s="12"/>
      <c r="AE1063" s="11"/>
    </row>
    <row r="1064" spans="2:31" ht="15">
      <c r="B1064" s="11"/>
      <c r="C1064" s="11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  <c r="AA1064" s="12"/>
      <c r="AB1064" s="12"/>
      <c r="AC1064" s="12"/>
      <c r="AD1064" s="12"/>
      <c r="AE1064" s="11"/>
    </row>
    <row r="1065" spans="2:31" ht="15">
      <c r="B1065" s="11"/>
      <c r="C1065" s="11"/>
      <c r="P1065" s="12"/>
      <c r="Q1065" s="12"/>
      <c r="R1065" s="12"/>
      <c r="S1065" s="12"/>
      <c r="T1065" s="12"/>
      <c r="U1065" s="12"/>
      <c r="V1065" s="12"/>
      <c r="W1065" s="12"/>
      <c r="X1065" s="12"/>
      <c r="Y1065" s="12"/>
      <c r="Z1065" s="12"/>
      <c r="AA1065" s="12"/>
      <c r="AB1065" s="12"/>
      <c r="AC1065" s="12"/>
      <c r="AD1065" s="12"/>
      <c r="AE1065" s="11"/>
    </row>
    <row r="1066" spans="2:31" ht="15">
      <c r="B1066" s="11"/>
      <c r="C1066" s="11"/>
      <c r="P1066" s="12"/>
      <c r="Q1066" s="12"/>
      <c r="R1066" s="12"/>
      <c r="S1066" s="12"/>
      <c r="T1066" s="12"/>
      <c r="U1066" s="12"/>
      <c r="V1066" s="12"/>
      <c r="W1066" s="12"/>
      <c r="X1066" s="12"/>
      <c r="Y1066" s="12"/>
      <c r="Z1066" s="12"/>
      <c r="AA1066" s="12"/>
      <c r="AB1066" s="12"/>
      <c r="AC1066" s="12"/>
      <c r="AD1066" s="12"/>
      <c r="AE1066" s="11"/>
    </row>
    <row r="1067" spans="2:31" ht="15">
      <c r="B1067" s="11"/>
      <c r="C1067" s="11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  <c r="AA1067" s="12"/>
      <c r="AB1067" s="12"/>
      <c r="AC1067" s="12"/>
      <c r="AD1067" s="12"/>
      <c r="AE1067" s="11"/>
    </row>
    <row r="1068" spans="2:31" ht="15">
      <c r="B1068" s="11"/>
      <c r="C1068" s="11"/>
      <c r="P1068" s="12"/>
      <c r="Q1068" s="12"/>
      <c r="R1068" s="12"/>
      <c r="S1068" s="12"/>
      <c r="T1068" s="12"/>
      <c r="U1068" s="12"/>
      <c r="V1068" s="12"/>
      <c r="W1068" s="12"/>
      <c r="X1068" s="12"/>
      <c r="Y1068" s="12"/>
      <c r="Z1068" s="12"/>
      <c r="AA1068" s="12"/>
      <c r="AB1068" s="12"/>
      <c r="AC1068" s="12"/>
      <c r="AD1068" s="12"/>
      <c r="AE1068" s="11"/>
    </row>
    <row r="1069" spans="2:31" ht="15">
      <c r="B1069" s="11"/>
      <c r="C1069" s="11"/>
      <c r="P1069" s="12"/>
      <c r="Q1069" s="12"/>
      <c r="R1069" s="12"/>
      <c r="S1069" s="12"/>
      <c r="T1069" s="12"/>
      <c r="U1069" s="12"/>
      <c r="V1069" s="12"/>
      <c r="W1069" s="12"/>
      <c r="X1069" s="12"/>
      <c r="Y1069" s="12"/>
      <c r="Z1069" s="12"/>
      <c r="AA1069" s="12"/>
      <c r="AB1069" s="12"/>
      <c r="AC1069" s="12"/>
      <c r="AD1069" s="12"/>
      <c r="AE1069" s="11"/>
    </row>
    <row r="1070" spans="2:31" ht="15">
      <c r="B1070" s="11"/>
      <c r="C1070" s="11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  <c r="AA1070" s="12"/>
      <c r="AB1070" s="12"/>
      <c r="AC1070" s="12"/>
      <c r="AD1070" s="12"/>
      <c r="AE1070" s="11"/>
    </row>
    <row r="1071" spans="2:31" ht="15">
      <c r="B1071" s="11"/>
      <c r="C1071" s="11"/>
      <c r="P1071" s="12"/>
      <c r="Q1071" s="12"/>
      <c r="R1071" s="12"/>
      <c r="S1071" s="12"/>
      <c r="T1071" s="12"/>
      <c r="U1071" s="12"/>
      <c r="V1071" s="12"/>
      <c r="W1071" s="12"/>
      <c r="X1071" s="12"/>
      <c r="Y1071" s="12"/>
      <c r="Z1071" s="12"/>
      <c r="AA1071" s="12"/>
      <c r="AB1071" s="12"/>
      <c r="AC1071" s="12"/>
      <c r="AD1071" s="12"/>
      <c r="AE1071" s="11"/>
    </row>
    <row r="1072" spans="2:31" ht="15">
      <c r="B1072" s="11"/>
      <c r="C1072" s="11"/>
      <c r="P1072" s="12"/>
      <c r="Q1072" s="12"/>
      <c r="R1072" s="12"/>
      <c r="S1072" s="12"/>
      <c r="T1072" s="12"/>
      <c r="U1072" s="12"/>
      <c r="V1072" s="12"/>
      <c r="W1072" s="12"/>
      <c r="X1072" s="12"/>
      <c r="Y1072" s="12"/>
      <c r="Z1072" s="12"/>
      <c r="AA1072" s="12"/>
      <c r="AB1072" s="12"/>
      <c r="AC1072" s="12"/>
      <c r="AD1072" s="12"/>
      <c r="AE1072" s="11"/>
    </row>
    <row r="1073" spans="2:31" ht="15">
      <c r="B1073" s="11"/>
      <c r="C1073" s="11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  <c r="AA1073" s="12"/>
      <c r="AB1073" s="12"/>
      <c r="AC1073" s="12"/>
      <c r="AD1073" s="12"/>
      <c r="AE1073" s="11"/>
    </row>
    <row r="1074" spans="2:31" ht="15">
      <c r="B1074" s="11"/>
      <c r="C1074" s="11"/>
      <c r="P1074" s="12"/>
      <c r="Q1074" s="12"/>
      <c r="R1074" s="12"/>
      <c r="S1074" s="12"/>
      <c r="T1074" s="12"/>
      <c r="U1074" s="12"/>
      <c r="V1074" s="12"/>
      <c r="W1074" s="12"/>
      <c r="X1074" s="12"/>
      <c r="Y1074" s="12"/>
      <c r="Z1074" s="12"/>
      <c r="AA1074" s="12"/>
      <c r="AB1074" s="12"/>
      <c r="AC1074" s="12"/>
      <c r="AD1074" s="12"/>
      <c r="AE1074" s="11"/>
    </row>
    <row r="1075" spans="2:31" ht="15">
      <c r="B1075" s="11"/>
      <c r="C1075" s="11"/>
      <c r="P1075" s="12"/>
      <c r="Q1075" s="12"/>
      <c r="R1075" s="12"/>
      <c r="S1075" s="12"/>
      <c r="T1075" s="12"/>
      <c r="U1075" s="12"/>
      <c r="V1075" s="12"/>
      <c r="W1075" s="12"/>
      <c r="X1075" s="12"/>
      <c r="Y1075" s="12"/>
      <c r="Z1075" s="12"/>
      <c r="AA1075" s="12"/>
      <c r="AB1075" s="12"/>
      <c r="AC1075" s="12"/>
      <c r="AD1075" s="12"/>
      <c r="AE1075" s="11"/>
    </row>
    <row r="1076" spans="2:31" ht="15">
      <c r="B1076" s="11"/>
      <c r="C1076" s="11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  <c r="AA1076" s="12"/>
      <c r="AB1076" s="12"/>
      <c r="AC1076" s="12"/>
      <c r="AD1076" s="12"/>
      <c r="AE1076" s="11"/>
    </row>
    <row r="1077" spans="2:31" ht="15">
      <c r="B1077" s="11"/>
      <c r="C1077" s="11"/>
      <c r="P1077" s="12"/>
      <c r="Q1077" s="12"/>
      <c r="R1077" s="12"/>
      <c r="S1077" s="12"/>
      <c r="T1077" s="12"/>
      <c r="U1077" s="12"/>
      <c r="V1077" s="12"/>
      <c r="W1077" s="12"/>
      <c r="X1077" s="12"/>
      <c r="Y1077" s="12"/>
      <c r="Z1077" s="12"/>
      <c r="AA1077" s="12"/>
      <c r="AB1077" s="12"/>
      <c r="AC1077" s="12"/>
      <c r="AD1077" s="12"/>
      <c r="AE1077" s="11"/>
    </row>
    <row r="1078" spans="2:31" ht="15">
      <c r="B1078" s="11"/>
      <c r="C1078" s="11"/>
      <c r="P1078" s="12"/>
      <c r="Q1078" s="12"/>
      <c r="R1078" s="12"/>
      <c r="S1078" s="12"/>
      <c r="T1078" s="12"/>
      <c r="U1078" s="12"/>
      <c r="V1078" s="12"/>
      <c r="W1078" s="12"/>
      <c r="X1078" s="12"/>
      <c r="Y1078" s="12"/>
      <c r="Z1078" s="12"/>
      <c r="AA1078" s="12"/>
      <c r="AB1078" s="12"/>
      <c r="AC1078" s="12"/>
      <c r="AD1078" s="12"/>
      <c r="AE1078" s="11"/>
    </row>
    <row r="1079" spans="2:31" ht="15">
      <c r="B1079" s="11"/>
      <c r="C1079" s="11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  <c r="AA1079" s="12"/>
      <c r="AB1079" s="12"/>
      <c r="AC1079" s="12"/>
      <c r="AD1079" s="12"/>
      <c r="AE1079" s="11"/>
    </row>
    <row r="1080" spans="2:31" ht="15">
      <c r="B1080" s="11"/>
      <c r="C1080" s="11"/>
      <c r="P1080" s="12"/>
      <c r="Q1080" s="12"/>
      <c r="R1080" s="12"/>
      <c r="S1080" s="12"/>
      <c r="T1080" s="12"/>
      <c r="U1080" s="12"/>
      <c r="V1080" s="12"/>
      <c r="W1080" s="12"/>
      <c r="X1080" s="12"/>
      <c r="Y1080" s="12"/>
      <c r="Z1080" s="12"/>
      <c r="AA1080" s="12"/>
      <c r="AB1080" s="12"/>
      <c r="AC1080" s="12"/>
      <c r="AD1080" s="12"/>
      <c r="AE1080" s="11"/>
    </row>
    <row r="1081" spans="2:31" ht="15">
      <c r="B1081" s="11"/>
      <c r="C1081" s="11"/>
      <c r="P1081" s="12"/>
      <c r="Q1081" s="12"/>
      <c r="R1081" s="12"/>
      <c r="S1081" s="12"/>
      <c r="T1081" s="12"/>
      <c r="U1081" s="12"/>
      <c r="V1081" s="12"/>
      <c r="W1081" s="12"/>
      <c r="X1081" s="12"/>
      <c r="Y1081" s="12"/>
      <c r="Z1081" s="12"/>
      <c r="AA1081" s="12"/>
      <c r="AB1081" s="12"/>
      <c r="AC1081" s="12"/>
      <c r="AD1081" s="12"/>
      <c r="AE1081" s="11"/>
    </row>
    <row r="1082" spans="2:31" ht="15">
      <c r="B1082" s="11"/>
      <c r="C1082" s="11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/>
      <c r="AE1082" s="11"/>
    </row>
    <row r="1083" spans="2:31" ht="15">
      <c r="B1083" s="11"/>
      <c r="C1083" s="11"/>
      <c r="P1083" s="12"/>
      <c r="Q1083" s="12"/>
      <c r="R1083" s="12"/>
      <c r="S1083" s="12"/>
      <c r="T1083" s="12"/>
      <c r="U1083" s="12"/>
      <c r="V1083" s="12"/>
      <c r="W1083" s="12"/>
      <c r="X1083" s="12"/>
      <c r="Y1083" s="12"/>
      <c r="Z1083" s="12"/>
      <c r="AA1083" s="12"/>
      <c r="AB1083" s="12"/>
      <c r="AC1083" s="12"/>
      <c r="AD1083" s="12"/>
      <c r="AE1083" s="11"/>
    </row>
    <row r="1084" spans="2:31" ht="15">
      <c r="B1084" s="11"/>
      <c r="C1084" s="11"/>
      <c r="P1084" s="12"/>
      <c r="Q1084" s="12"/>
      <c r="R1084" s="12"/>
      <c r="S1084" s="12"/>
      <c r="T1084" s="12"/>
      <c r="U1084" s="12"/>
      <c r="V1084" s="12"/>
      <c r="W1084" s="12"/>
      <c r="X1084" s="12"/>
      <c r="Y1084" s="12"/>
      <c r="Z1084" s="12"/>
      <c r="AA1084" s="12"/>
      <c r="AB1084" s="12"/>
      <c r="AC1084" s="12"/>
      <c r="AD1084" s="12"/>
      <c r="AE1084" s="11"/>
    </row>
    <row r="1085" spans="2:31" ht="15">
      <c r="B1085" s="11"/>
      <c r="C1085" s="11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  <c r="AA1085" s="12"/>
      <c r="AB1085" s="12"/>
      <c r="AC1085" s="12"/>
      <c r="AD1085" s="12"/>
      <c r="AE1085" s="11"/>
    </row>
    <row r="1086" spans="2:31" ht="15">
      <c r="B1086" s="11"/>
      <c r="C1086" s="11"/>
      <c r="P1086" s="12"/>
      <c r="Q1086" s="12"/>
      <c r="R1086" s="12"/>
      <c r="S1086" s="12"/>
      <c r="T1086" s="12"/>
      <c r="U1086" s="12"/>
      <c r="V1086" s="12"/>
      <c r="W1086" s="12"/>
      <c r="X1086" s="12"/>
      <c r="Y1086" s="12"/>
      <c r="Z1086" s="12"/>
      <c r="AA1086" s="12"/>
      <c r="AB1086" s="12"/>
      <c r="AC1086" s="12"/>
      <c r="AD1086" s="12"/>
      <c r="AE1086" s="11"/>
    </row>
    <row r="1087" spans="2:31" ht="15">
      <c r="B1087" s="11"/>
      <c r="C1087" s="11"/>
      <c r="P1087" s="12"/>
      <c r="Q1087" s="12"/>
      <c r="R1087" s="12"/>
      <c r="S1087" s="12"/>
      <c r="T1087" s="12"/>
      <c r="U1087" s="12"/>
      <c r="V1087" s="12"/>
      <c r="W1087" s="12"/>
      <c r="X1087" s="12"/>
      <c r="Y1087" s="12"/>
      <c r="Z1087" s="12"/>
      <c r="AA1087" s="12"/>
      <c r="AB1087" s="12"/>
      <c r="AC1087" s="12"/>
      <c r="AD1087" s="12"/>
      <c r="AE1087" s="11"/>
    </row>
    <row r="1088" spans="2:31" ht="15">
      <c r="B1088" s="11"/>
      <c r="C1088" s="11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  <c r="AA1088" s="12"/>
      <c r="AB1088" s="12"/>
      <c r="AC1088" s="12"/>
      <c r="AD1088" s="12"/>
      <c r="AE1088" s="11"/>
    </row>
    <row r="1089" spans="2:31" ht="15">
      <c r="B1089" s="11"/>
      <c r="C1089" s="11"/>
      <c r="P1089" s="12"/>
      <c r="Q1089" s="12"/>
      <c r="R1089" s="12"/>
      <c r="S1089" s="12"/>
      <c r="T1089" s="12"/>
      <c r="U1089" s="12"/>
      <c r="V1089" s="12"/>
      <c r="W1089" s="12"/>
      <c r="X1089" s="12"/>
      <c r="Y1089" s="12"/>
      <c r="Z1089" s="12"/>
      <c r="AA1089" s="12"/>
      <c r="AB1089" s="12"/>
      <c r="AC1089" s="12"/>
      <c r="AD1089" s="12"/>
      <c r="AE1089" s="11"/>
    </row>
    <row r="1090" spans="2:31" ht="15">
      <c r="B1090" s="11"/>
      <c r="C1090" s="11"/>
      <c r="P1090" s="12"/>
      <c r="Q1090" s="12"/>
      <c r="R1090" s="12"/>
      <c r="S1090" s="12"/>
      <c r="T1090" s="12"/>
      <c r="U1090" s="12"/>
      <c r="V1090" s="12"/>
      <c r="W1090" s="12"/>
      <c r="X1090" s="12"/>
      <c r="Y1090" s="12"/>
      <c r="Z1090" s="12"/>
      <c r="AA1090" s="12"/>
      <c r="AB1090" s="12"/>
      <c r="AC1090" s="12"/>
      <c r="AD1090" s="12"/>
      <c r="AE1090" s="11"/>
    </row>
    <row r="1091" spans="2:31" ht="15">
      <c r="B1091" s="11"/>
      <c r="C1091" s="11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  <c r="AA1091" s="12"/>
      <c r="AB1091" s="12"/>
      <c r="AC1091" s="12"/>
      <c r="AD1091" s="12"/>
      <c r="AE1091" s="11"/>
    </row>
    <row r="1092" spans="2:31" ht="15">
      <c r="B1092" s="11"/>
      <c r="C1092" s="11"/>
      <c r="P1092" s="12"/>
      <c r="Q1092" s="12"/>
      <c r="R1092" s="12"/>
      <c r="S1092" s="12"/>
      <c r="T1092" s="12"/>
      <c r="U1092" s="12"/>
      <c r="V1092" s="12"/>
      <c r="W1092" s="12"/>
      <c r="X1092" s="12"/>
      <c r="Y1092" s="12"/>
      <c r="Z1092" s="12"/>
      <c r="AA1092" s="12"/>
      <c r="AB1092" s="12"/>
      <c r="AC1092" s="12"/>
      <c r="AD1092" s="12"/>
      <c r="AE1092" s="11"/>
    </row>
    <row r="1093" spans="2:31" ht="15">
      <c r="B1093" s="11"/>
      <c r="C1093" s="11"/>
      <c r="P1093" s="12"/>
      <c r="Q1093" s="12"/>
      <c r="R1093" s="12"/>
      <c r="S1093" s="12"/>
      <c r="T1093" s="12"/>
      <c r="U1093" s="12"/>
      <c r="V1093" s="12"/>
      <c r="W1093" s="12"/>
      <c r="X1093" s="12"/>
      <c r="Y1093" s="12"/>
      <c r="Z1093" s="12"/>
      <c r="AA1093" s="12"/>
      <c r="AB1093" s="12"/>
      <c r="AC1093" s="12"/>
      <c r="AD1093" s="12"/>
      <c r="AE1093" s="11"/>
    </row>
    <row r="1094" spans="2:31" ht="15">
      <c r="B1094" s="11"/>
      <c r="C1094" s="11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  <c r="AA1094" s="12"/>
      <c r="AB1094" s="12"/>
      <c r="AC1094" s="12"/>
      <c r="AD1094" s="12"/>
      <c r="AE1094" s="11"/>
    </row>
    <row r="1095" spans="2:31" ht="15">
      <c r="B1095" s="11"/>
      <c r="C1095" s="11"/>
      <c r="P1095" s="12"/>
      <c r="Q1095" s="12"/>
      <c r="R1095" s="12"/>
      <c r="S1095" s="12"/>
      <c r="T1095" s="12"/>
      <c r="U1095" s="12"/>
      <c r="V1095" s="12"/>
      <c r="W1095" s="12"/>
      <c r="X1095" s="12"/>
      <c r="Y1095" s="12"/>
      <c r="Z1095" s="12"/>
      <c r="AA1095" s="12"/>
      <c r="AB1095" s="12"/>
      <c r="AC1095" s="12"/>
      <c r="AD1095" s="12"/>
      <c r="AE1095" s="11"/>
    </row>
    <row r="1096" spans="2:31" ht="15">
      <c r="B1096" s="11"/>
      <c r="C1096" s="11"/>
      <c r="P1096" s="12"/>
      <c r="Q1096" s="12"/>
      <c r="R1096" s="12"/>
      <c r="S1096" s="12"/>
      <c r="T1096" s="12"/>
      <c r="U1096" s="12"/>
      <c r="V1096" s="12"/>
      <c r="W1096" s="12"/>
      <c r="X1096" s="12"/>
      <c r="Y1096" s="12"/>
      <c r="Z1096" s="12"/>
      <c r="AA1096" s="12"/>
      <c r="AB1096" s="12"/>
      <c r="AC1096" s="12"/>
      <c r="AD1096" s="12"/>
      <c r="AE1096" s="11"/>
    </row>
    <row r="1097" spans="2:31" ht="15">
      <c r="B1097" s="11"/>
      <c r="C1097" s="11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  <c r="AA1097" s="12"/>
      <c r="AB1097" s="12"/>
      <c r="AC1097" s="12"/>
      <c r="AD1097" s="12"/>
      <c r="AE1097" s="11"/>
    </row>
    <row r="1098" spans="2:31" ht="15">
      <c r="B1098" s="11"/>
      <c r="C1098" s="11"/>
      <c r="P1098" s="12"/>
      <c r="Q1098" s="12"/>
      <c r="R1098" s="12"/>
      <c r="S1098" s="12"/>
      <c r="T1098" s="12"/>
      <c r="U1098" s="12"/>
      <c r="V1098" s="12"/>
      <c r="W1098" s="12"/>
      <c r="X1098" s="12"/>
      <c r="Y1098" s="12"/>
      <c r="Z1098" s="12"/>
      <c r="AA1098" s="12"/>
      <c r="AB1098" s="12"/>
      <c r="AC1098" s="12"/>
      <c r="AD1098" s="12"/>
      <c r="AE1098" s="11"/>
    </row>
    <row r="1099" spans="2:31" ht="15">
      <c r="B1099" s="11"/>
      <c r="C1099" s="11"/>
      <c r="P1099" s="12"/>
      <c r="Q1099" s="12"/>
      <c r="R1099" s="12"/>
      <c r="S1099" s="12"/>
      <c r="T1099" s="12"/>
      <c r="U1099" s="12"/>
      <c r="V1099" s="12"/>
      <c r="W1099" s="12"/>
      <c r="X1099" s="12"/>
      <c r="Y1099" s="12"/>
      <c r="Z1099" s="12"/>
      <c r="AA1099" s="12"/>
      <c r="AB1099" s="12"/>
      <c r="AC1099" s="12"/>
      <c r="AD1099" s="12"/>
      <c r="AE1099" s="11"/>
    </row>
    <row r="1100" spans="2:31" ht="15">
      <c r="B1100" s="11"/>
      <c r="C1100" s="11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  <c r="AA1100" s="12"/>
      <c r="AB1100" s="12"/>
      <c r="AC1100" s="12"/>
      <c r="AD1100" s="12"/>
      <c r="AE1100" s="11"/>
    </row>
    <row r="1101" spans="2:31" ht="15">
      <c r="B1101" s="11"/>
      <c r="C1101" s="11"/>
      <c r="P1101" s="12"/>
      <c r="Q1101" s="12"/>
      <c r="R1101" s="12"/>
      <c r="S1101" s="12"/>
      <c r="T1101" s="12"/>
      <c r="U1101" s="12"/>
      <c r="V1101" s="12"/>
      <c r="W1101" s="12"/>
      <c r="X1101" s="12"/>
      <c r="Y1101" s="12"/>
      <c r="Z1101" s="12"/>
      <c r="AA1101" s="12"/>
      <c r="AB1101" s="12"/>
      <c r="AC1101" s="12"/>
      <c r="AD1101" s="12"/>
      <c r="AE1101" s="11"/>
    </row>
    <row r="1102" spans="2:31" ht="15">
      <c r="B1102" s="11"/>
      <c r="C1102" s="11"/>
      <c r="P1102" s="12"/>
      <c r="Q1102" s="12"/>
      <c r="R1102" s="12"/>
      <c r="S1102" s="12"/>
      <c r="T1102" s="12"/>
      <c r="U1102" s="12"/>
      <c r="V1102" s="12"/>
      <c r="W1102" s="12"/>
      <c r="X1102" s="12"/>
      <c r="Y1102" s="12"/>
      <c r="Z1102" s="12"/>
      <c r="AA1102" s="12"/>
      <c r="AB1102" s="12"/>
      <c r="AC1102" s="12"/>
      <c r="AD1102" s="12"/>
      <c r="AE1102" s="11"/>
    </row>
    <row r="1103" spans="2:31" ht="15">
      <c r="B1103" s="11"/>
      <c r="C1103" s="11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1"/>
    </row>
    <row r="1104" spans="2:31" ht="15">
      <c r="B1104" s="11"/>
      <c r="C1104" s="11"/>
      <c r="P1104" s="12"/>
      <c r="Q1104" s="12"/>
      <c r="R1104" s="12"/>
      <c r="S1104" s="12"/>
      <c r="T1104" s="12"/>
      <c r="U1104" s="12"/>
      <c r="V1104" s="12"/>
      <c r="W1104" s="12"/>
      <c r="X1104" s="12"/>
      <c r="Y1104" s="12"/>
      <c r="Z1104" s="12"/>
      <c r="AA1104" s="12"/>
      <c r="AB1104" s="12"/>
      <c r="AC1104" s="12"/>
      <c r="AD1104" s="12"/>
      <c r="AE1104" s="11"/>
    </row>
    <row r="1105" spans="2:31" ht="15">
      <c r="B1105" s="11"/>
      <c r="C1105" s="11"/>
      <c r="P1105" s="12"/>
      <c r="Q1105" s="12"/>
      <c r="R1105" s="12"/>
      <c r="S1105" s="12"/>
      <c r="T1105" s="12"/>
      <c r="U1105" s="12"/>
      <c r="V1105" s="12"/>
      <c r="W1105" s="12"/>
      <c r="X1105" s="12"/>
      <c r="Y1105" s="12"/>
      <c r="Z1105" s="12"/>
      <c r="AA1105" s="12"/>
      <c r="AB1105" s="12"/>
      <c r="AC1105" s="12"/>
      <c r="AD1105" s="12"/>
      <c r="AE1105" s="11"/>
    </row>
    <row r="1106" spans="2:31" ht="15">
      <c r="B1106" s="11"/>
      <c r="C1106" s="11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  <c r="AA1106" s="12"/>
      <c r="AB1106" s="12"/>
      <c r="AC1106" s="12"/>
      <c r="AD1106" s="12"/>
      <c r="AE1106" s="11"/>
    </row>
    <row r="1107" spans="2:31" ht="15">
      <c r="B1107" s="11"/>
      <c r="C1107" s="11"/>
      <c r="P1107" s="12"/>
      <c r="Q1107" s="12"/>
      <c r="R1107" s="12"/>
      <c r="S1107" s="12"/>
      <c r="T1107" s="12"/>
      <c r="U1107" s="12"/>
      <c r="V1107" s="12"/>
      <c r="W1107" s="12"/>
      <c r="X1107" s="12"/>
      <c r="Y1107" s="12"/>
      <c r="Z1107" s="12"/>
      <c r="AA1107" s="12"/>
      <c r="AB1107" s="12"/>
      <c r="AC1107" s="12"/>
      <c r="AD1107" s="12"/>
      <c r="AE1107" s="11"/>
    </row>
    <row r="1108" spans="2:31" ht="15">
      <c r="B1108" s="11"/>
      <c r="C1108" s="11"/>
      <c r="P1108" s="12"/>
      <c r="Q1108" s="12"/>
      <c r="R1108" s="12"/>
      <c r="S1108" s="12"/>
      <c r="T1108" s="12"/>
      <c r="U1108" s="12"/>
      <c r="V1108" s="12"/>
      <c r="W1108" s="12"/>
      <c r="X1108" s="12"/>
      <c r="Y1108" s="12"/>
      <c r="Z1108" s="12"/>
      <c r="AA1108" s="12"/>
      <c r="AB1108" s="12"/>
      <c r="AC1108" s="12"/>
      <c r="AD1108" s="12"/>
      <c r="AE1108" s="11"/>
    </row>
    <row r="1109" spans="2:31" ht="15">
      <c r="B1109" s="11"/>
      <c r="C1109" s="11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  <c r="AA1109" s="12"/>
      <c r="AB1109" s="12"/>
      <c r="AC1109" s="12"/>
      <c r="AD1109" s="12"/>
      <c r="AE1109" s="11"/>
    </row>
    <row r="1110" spans="2:31" ht="15">
      <c r="B1110" s="11"/>
      <c r="C1110" s="11"/>
      <c r="P1110" s="12"/>
      <c r="Q1110" s="12"/>
      <c r="R1110" s="12"/>
      <c r="S1110" s="12"/>
      <c r="T1110" s="12"/>
      <c r="U1110" s="12"/>
      <c r="V1110" s="12"/>
      <c r="W1110" s="12"/>
      <c r="X1110" s="12"/>
      <c r="Y1110" s="12"/>
      <c r="Z1110" s="12"/>
      <c r="AA1110" s="12"/>
      <c r="AB1110" s="12"/>
      <c r="AC1110" s="12"/>
      <c r="AD1110" s="12"/>
      <c r="AE1110" s="11"/>
    </row>
    <row r="1111" spans="2:31" ht="15">
      <c r="B1111" s="11"/>
      <c r="C1111" s="11"/>
      <c r="P1111" s="12"/>
      <c r="Q1111" s="12"/>
      <c r="R1111" s="12"/>
      <c r="S1111" s="12"/>
      <c r="T1111" s="12"/>
      <c r="U1111" s="12"/>
      <c r="V1111" s="12"/>
      <c r="W1111" s="12"/>
      <c r="X1111" s="12"/>
      <c r="Y1111" s="12"/>
      <c r="Z1111" s="12"/>
      <c r="AA1111" s="12"/>
      <c r="AB1111" s="12"/>
      <c r="AC1111" s="12"/>
      <c r="AD1111" s="12"/>
      <c r="AE1111" s="11"/>
    </row>
    <row r="1112" spans="2:31" ht="15">
      <c r="B1112" s="11"/>
      <c r="C1112" s="11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  <c r="AA1112" s="12"/>
      <c r="AB1112" s="12"/>
      <c r="AC1112" s="12"/>
      <c r="AD1112" s="12"/>
      <c r="AE1112" s="11"/>
    </row>
    <row r="1113" spans="2:31" ht="15">
      <c r="B1113" s="11"/>
      <c r="C1113" s="11"/>
      <c r="P1113" s="12"/>
      <c r="Q1113" s="12"/>
      <c r="R1113" s="12"/>
      <c r="S1113" s="12"/>
      <c r="T1113" s="12"/>
      <c r="U1113" s="12"/>
      <c r="V1113" s="12"/>
      <c r="W1113" s="12"/>
      <c r="X1113" s="12"/>
      <c r="Y1113" s="12"/>
      <c r="Z1113" s="12"/>
      <c r="AA1113" s="12"/>
      <c r="AB1113" s="12"/>
      <c r="AC1113" s="12"/>
      <c r="AD1113" s="12"/>
      <c r="AE1113" s="11"/>
    </row>
    <row r="1114" spans="2:31" ht="15">
      <c r="B1114" s="11"/>
      <c r="C1114" s="11"/>
      <c r="P1114" s="12"/>
      <c r="Q1114" s="12"/>
      <c r="R1114" s="12"/>
      <c r="S1114" s="12"/>
      <c r="T1114" s="12"/>
      <c r="U1114" s="12"/>
      <c r="V1114" s="12"/>
      <c r="W1114" s="12"/>
      <c r="X1114" s="12"/>
      <c r="Y1114" s="12"/>
      <c r="Z1114" s="12"/>
      <c r="AA1114" s="12"/>
      <c r="AB1114" s="12"/>
      <c r="AC1114" s="12"/>
      <c r="AD1114" s="12"/>
      <c r="AE1114" s="11"/>
    </row>
    <row r="1115" spans="2:31" ht="15">
      <c r="B1115" s="11"/>
      <c r="C1115" s="11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  <c r="AA1115" s="12"/>
      <c r="AB1115" s="12"/>
      <c r="AC1115" s="12"/>
      <c r="AD1115" s="12"/>
      <c r="AE1115" s="11"/>
    </row>
    <row r="1116" spans="2:31" ht="15">
      <c r="B1116" s="11"/>
      <c r="C1116" s="11"/>
      <c r="P1116" s="12"/>
      <c r="Q1116" s="12"/>
      <c r="R1116" s="12"/>
      <c r="S1116" s="12"/>
      <c r="T1116" s="12"/>
      <c r="U1116" s="12"/>
      <c r="V1116" s="12"/>
      <c r="W1116" s="12"/>
      <c r="X1116" s="12"/>
      <c r="Y1116" s="12"/>
      <c r="Z1116" s="12"/>
      <c r="AA1116" s="12"/>
      <c r="AB1116" s="12"/>
      <c r="AC1116" s="12"/>
      <c r="AD1116" s="12"/>
      <c r="AE1116" s="11"/>
    </row>
    <row r="1117" spans="2:31" ht="15">
      <c r="B1117" s="11"/>
      <c r="C1117" s="11"/>
      <c r="P1117" s="12"/>
      <c r="Q1117" s="12"/>
      <c r="R1117" s="12"/>
      <c r="S1117" s="12"/>
      <c r="T1117" s="12"/>
      <c r="U1117" s="12"/>
      <c r="V1117" s="12"/>
      <c r="W1117" s="12"/>
      <c r="X1117" s="12"/>
      <c r="Y1117" s="12"/>
      <c r="Z1117" s="12"/>
      <c r="AA1117" s="12"/>
      <c r="AB1117" s="12"/>
      <c r="AC1117" s="12"/>
      <c r="AD1117" s="12"/>
      <c r="AE1117" s="11"/>
    </row>
    <row r="1118" spans="2:31" ht="15">
      <c r="B1118" s="11"/>
      <c r="C1118" s="11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  <c r="AA1118" s="12"/>
      <c r="AB1118" s="12"/>
      <c r="AC1118" s="12"/>
      <c r="AD1118" s="12"/>
      <c r="AE1118" s="11"/>
    </row>
    <row r="1119" spans="2:31" ht="15">
      <c r="B1119" s="11"/>
      <c r="C1119" s="11"/>
      <c r="P1119" s="12"/>
      <c r="Q1119" s="12"/>
      <c r="R1119" s="12"/>
      <c r="S1119" s="12"/>
      <c r="T1119" s="12"/>
      <c r="U1119" s="12"/>
      <c r="V1119" s="12"/>
      <c r="W1119" s="12"/>
      <c r="X1119" s="12"/>
      <c r="Y1119" s="12"/>
      <c r="Z1119" s="12"/>
      <c r="AA1119" s="12"/>
      <c r="AB1119" s="12"/>
      <c r="AC1119" s="12"/>
      <c r="AD1119" s="12"/>
      <c r="AE1119" s="11"/>
    </row>
    <row r="1120" spans="2:31" ht="15">
      <c r="B1120" s="11"/>
      <c r="C1120" s="11"/>
      <c r="P1120" s="12"/>
      <c r="Q1120" s="12"/>
      <c r="R1120" s="12"/>
      <c r="S1120" s="12"/>
      <c r="T1120" s="12"/>
      <c r="U1120" s="12"/>
      <c r="V1120" s="12"/>
      <c r="W1120" s="12"/>
      <c r="X1120" s="12"/>
      <c r="Y1120" s="12"/>
      <c r="Z1120" s="12"/>
      <c r="AA1120" s="12"/>
      <c r="AB1120" s="12"/>
      <c r="AC1120" s="12"/>
      <c r="AD1120" s="12"/>
      <c r="AE1120" s="11"/>
    </row>
    <row r="1121" spans="2:31" ht="15">
      <c r="B1121" s="11"/>
      <c r="C1121" s="11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  <c r="AA1121" s="12"/>
      <c r="AB1121" s="12"/>
      <c r="AC1121" s="12"/>
      <c r="AD1121" s="12"/>
      <c r="AE1121" s="11"/>
    </row>
    <row r="1122" spans="2:31" ht="15">
      <c r="B1122" s="11"/>
      <c r="C1122" s="11"/>
      <c r="P1122" s="12"/>
      <c r="Q1122" s="12"/>
      <c r="R1122" s="12"/>
      <c r="S1122" s="12"/>
      <c r="T1122" s="12"/>
      <c r="U1122" s="12"/>
      <c r="V1122" s="12"/>
      <c r="W1122" s="12"/>
      <c r="X1122" s="12"/>
      <c r="Y1122" s="12"/>
      <c r="Z1122" s="12"/>
      <c r="AA1122" s="12"/>
      <c r="AB1122" s="12"/>
      <c r="AC1122" s="12"/>
      <c r="AD1122" s="12"/>
      <c r="AE1122" s="11"/>
    </row>
    <row r="1123" spans="2:31" ht="15">
      <c r="B1123" s="11"/>
      <c r="C1123" s="11"/>
      <c r="P1123" s="12"/>
      <c r="Q1123" s="12"/>
      <c r="R1123" s="12"/>
      <c r="S1123" s="12"/>
      <c r="T1123" s="12"/>
      <c r="U1123" s="12"/>
      <c r="V1123" s="12"/>
      <c r="W1123" s="12"/>
      <c r="X1123" s="12"/>
      <c r="Y1123" s="12"/>
      <c r="Z1123" s="12"/>
      <c r="AA1123" s="12"/>
      <c r="AB1123" s="12"/>
      <c r="AC1123" s="12"/>
      <c r="AD1123" s="12"/>
      <c r="AE1123" s="11"/>
    </row>
    <row r="1124" spans="2:31" ht="15">
      <c r="B1124" s="11"/>
      <c r="C1124" s="11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  <c r="AA1124" s="12"/>
      <c r="AB1124" s="12"/>
      <c r="AC1124" s="12"/>
      <c r="AD1124" s="12"/>
      <c r="AE1124" s="11"/>
    </row>
    <row r="1125" spans="2:31" ht="15">
      <c r="B1125" s="11"/>
      <c r="C1125" s="11"/>
      <c r="P1125" s="12"/>
      <c r="Q1125" s="12"/>
      <c r="R1125" s="12"/>
      <c r="S1125" s="12"/>
      <c r="T1125" s="12"/>
      <c r="U1125" s="12"/>
      <c r="V1125" s="12"/>
      <c r="W1125" s="12"/>
      <c r="X1125" s="12"/>
      <c r="Y1125" s="12"/>
      <c r="Z1125" s="12"/>
      <c r="AA1125" s="12"/>
      <c r="AB1125" s="12"/>
      <c r="AC1125" s="12"/>
      <c r="AD1125" s="12"/>
      <c r="AE1125" s="11"/>
    </row>
    <row r="1126" spans="2:31" ht="15">
      <c r="B1126" s="11"/>
      <c r="C1126" s="11"/>
      <c r="P1126" s="12"/>
      <c r="Q1126" s="12"/>
      <c r="R1126" s="12"/>
      <c r="S1126" s="12"/>
      <c r="T1126" s="12"/>
      <c r="U1126" s="12"/>
      <c r="V1126" s="12"/>
      <c r="W1126" s="12"/>
      <c r="X1126" s="12"/>
      <c r="Y1126" s="12"/>
      <c r="Z1126" s="12"/>
      <c r="AA1126" s="12"/>
      <c r="AB1126" s="12"/>
      <c r="AC1126" s="12"/>
      <c r="AD1126" s="12"/>
      <c r="AE1126" s="11"/>
    </row>
    <row r="1127" spans="2:31" ht="15">
      <c r="B1127" s="11"/>
      <c r="C1127" s="11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  <c r="AA1127" s="12"/>
      <c r="AB1127" s="12"/>
      <c r="AC1127" s="12"/>
      <c r="AD1127" s="12"/>
      <c r="AE1127" s="11"/>
    </row>
    <row r="1128" spans="2:31" ht="15">
      <c r="B1128" s="11"/>
      <c r="C1128" s="11"/>
      <c r="P1128" s="12"/>
      <c r="Q1128" s="12"/>
      <c r="R1128" s="12"/>
      <c r="S1128" s="12"/>
      <c r="T1128" s="12"/>
      <c r="U1128" s="12"/>
      <c r="V1128" s="12"/>
      <c r="W1128" s="12"/>
      <c r="X1128" s="12"/>
      <c r="Y1128" s="12"/>
      <c r="Z1128" s="12"/>
      <c r="AA1128" s="12"/>
      <c r="AB1128" s="12"/>
      <c r="AC1128" s="12"/>
      <c r="AD1128" s="12"/>
      <c r="AE1128" s="11"/>
    </row>
    <row r="1129" spans="2:31" ht="15">
      <c r="B1129" s="11"/>
      <c r="C1129" s="11"/>
      <c r="P1129" s="12"/>
      <c r="Q1129" s="12"/>
      <c r="R1129" s="12"/>
      <c r="S1129" s="12"/>
      <c r="T1129" s="12"/>
      <c r="U1129" s="12"/>
      <c r="V1129" s="12"/>
      <c r="W1129" s="12"/>
      <c r="X1129" s="12"/>
      <c r="Y1129" s="12"/>
      <c r="Z1129" s="12"/>
      <c r="AA1129" s="12"/>
      <c r="AB1129" s="12"/>
      <c r="AC1129" s="12"/>
      <c r="AD1129" s="12"/>
      <c r="AE1129" s="11"/>
    </row>
    <row r="1130" spans="2:31" ht="15">
      <c r="B1130" s="11"/>
      <c r="C1130" s="11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  <c r="AA1130" s="12"/>
      <c r="AB1130" s="12"/>
      <c r="AC1130" s="12"/>
      <c r="AD1130" s="12"/>
      <c r="AE1130" s="11"/>
    </row>
    <row r="1131" spans="2:31" ht="15">
      <c r="B1131" s="11"/>
      <c r="C1131" s="11"/>
      <c r="P1131" s="12"/>
      <c r="Q1131" s="12"/>
      <c r="R1131" s="12"/>
      <c r="S1131" s="12"/>
      <c r="T1131" s="12"/>
      <c r="U1131" s="12"/>
      <c r="V1131" s="12"/>
      <c r="W1131" s="12"/>
      <c r="X1131" s="12"/>
      <c r="Y1131" s="12"/>
      <c r="Z1131" s="12"/>
      <c r="AA1131" s="12"/>
      <c r="AB1131" s="12"/>
      <c r="AC1131" s="12"/>
      <c r="AD1131" s="12"/>
      <c r="AE1131" s="11"/>
    </row>
    <row r="1132" spans="2:31" ht="15">
      <c r="B1132" s="11"/>
      <c r="C1132" s="11"/>
      <c r="P1132" s="12"/>
      <c r="Q1132" s="12"/>
      <c r="R1132" s="12"/>
      <c r="S1132" s="12"/>
      <c r="T1132" s="12"/>
      <c r="U1132" s="12"/>
      <c r="V1132" s="12"/>
      <c r="W1132" s="12"/>
      <c r="X1132" s="12"/>
      <c r="Y1132" s="12"/>
      <c r="Z1132" s="12"/>
      <c r="AA1132" s="12"/>
      <c r="AB1132" s="12"/>
      <c r="AC1132" s="12"/>
      <c r="AD1132" s="12"/>
      <c r="AE1132" s="11"/>
    </row>
    <row r="1133" spans="2:31" ht="15">
      <c r="B1133" s="11"/>
      <c r="C1133" s="11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  <c r="AA1133" s="12"/>
      <c r="AB1133" s="12"/>
      <c r="AC1133" s="12"/>
      <c r="AD1133" s="12"/>
      <c r="AE1133" s="11"/>
    </row>
    <row r="1134" spans="2:31" ht="15">
      <c r="B1134" s="11"/>
      <c r="C1134" s="11"/>
      <c r="P1134" s="12"/>
      <c r="Q1134" s="12"/>
      <c r="R1134" s="12"/>
      <c r="S1134" s="12"/>
      <c r="T1134" s="12"/>
      <c r="U1134" s="12"/>
      <c r="V1134" s="12"/>
      <c r="W1134" s="12"/>
      <c r="X1134" s="12"/>
      <c r="Y1134" s="12"/>
      <c r="Z1134" s="12"/>
      <c r="AA1134" s="12"/>
      <c r="AB1134" s="12"/>
      <c r="AC1134" s="12"/>
      <c r="AD1134" s="12"/>
      <c r="AE1134" s="11"/>
    </row>
    <row r="1135" spans="2:31" ht="15">
      <c r="B1135" s="11"/>
      <c r="C1135" s="11"/>
      <c r="P1135" s="12"/>
      <c r="Q1135" s="12"/>
      <c r="R1135" s="12"/>
      <c r="S1135" s="12"/>
      <c r="T1135" s="12"/>
      <c r="U1135" s="12"/>
      <c r="V1135" s="12"/>
      <c r="W1135" s="12"/>
      <c r="X1135" s="12"/>
      <c r="Y1135" s="12"/>
      <c r="Z1135" s="12"/>
      <c r="AA1135" s="12"/>
      <c r="AB1135" s="12"/>
      <c r="AC1135" s="12"/>
      <c r="AD1135" s="12"/>
      <c r="AE1135" s="11"/>
    </row>
    <row r="1136" spans="2:31" ht="15">
      <c r="B1136" s="11"/>
      <c r="C1136" s="11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  <c r="AA1136" s="12"/>
      <c r="AB1136" s="12"/>
      <c r="AC1136" s="12"/>
      <c r="AD1136" s="12"/>
      <c r="AE1136" s="11"/>
    </row>
    <row r="1137" spans="2:31" ht="15">
      <c r="B1137" s="11"/>
      <c r="C1137" s="11"/>
      <c r="P1137" s="12"/>
      <c r="Q1137" s="12"/>
      <c r="R1137" s="12"/>
      <c r="S1137" s="12"/>
      <c r="T1137" s="12"/>
      <c r="U1137" s="12"/>
      <c r="V1137" s="12"/>
      <c r="W1137" s="12"/>
      <c r="X1137" s="12"/>
      <c r="Y1137" s="12"/>
      <c r="Z1137" s="12"/>
      <c r="AA1137" s="12"/>
      <c r="AB1137" s="12"/>
      <c r="AC1137" s="12"/>
      <c r="AD1137" s="12"/>
      <c r="AE1137" s="11"/>
    </row>
    <row r="1138" spans="2:31" ht="15">
      <c r="B1138" s="11"/>
      <c r="C1138" s="11"/>
      <c r="P1138" s="12"/>
      <c r="Q1138" s="12"/>
      <c r="R1138" s="12"/>
      <c r="S1138" s="12"/>
      <c r="T1138" s="12"/>
      <c r="U1138" s="12"/>
      <c r="V1138" s="12"/>
      <c r="W1138" s="12"/>
      <c r="X1138" s="12"/>
      <c r="Y1138" s="12"/>
      <c r="Z1138" s="12"/>
      <c r="AA1138" s="12"/>
      <c r="AB1138" s="12"/>
      <c r="AC1138" s="12"/>
      <c r="AD1138" s="12"/>
      <c r="AE1138" s="11"/>
    </row>
    <row r="1139" spans="2:31" ht="15">
      <c r="B1139" s="11"/>
      <c r="C1139" s="11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  <c r="AA1139" s="12"/>
      <c r="AB1139" s="12"/>
      <c r="AC1139" s="12"/>
      <c r="AD1139" s="12"/>
      <c r="AE1139" s="11"/>
    </row>
    <row r="1140" spans="2:31" ht="15">
      <c r="B1140" s="11"/>
      <c r="C1140" s="11"/>
      <c r="P1140" s="12"/>
      <c r="Q1140" s="12"/>
      <c r="R1140" s="12"/>
      <c r="S1140" s="12"/>
      <c r="T1140" s="12"/>
      <c r="U1140" s="12"/>
      <c r="V1140" s="12"/>
      <c r="W1140" s="12"/>
      <c r="X1140" s="12"/>
      <c r="Y1140" s="12"/>
      <c r="Z1140" s="12"/>
      <c r="AA1140" s="12"/>
      <c r="AB1140" s="12"/>
      <c r="AC1140" s="12"/>
      <c r="AD1140" s="12"/>
      <c r="AE1140" s="11"/>
    </row>
    <row r="1141" spans="2:31" ht="15">
      <c r="B1141" s="11"/>
      <c r="C1141" s="11"/>
      <c r="P1141" s="12"/>
      <c r="Q1141" s="12"/>
      <c r="R1141" s="12"/>
      <c r="S1141" s="12"/>
      <c r="T1141" s="12"/>
      <c r="U1141" s="12"/>
      <c r="V1141" s="12"/>
      <c r="W1141" s="12"/>
      <c r="X1141" s="12"/>
      <c r="Y1141" s="12"/>
      <c r="Z1141" s="12"/>
      <c r="AA1141" s="12"/>
      <c r="AB1141" s="12"/>
      <c r="AC1141" s="12"/>
      <c r="AD1141" s="12"/>
      <c r="AE1141" s="11"/>
    </row>
    <row r="1142" spans="2:31" ht="15">
      <c r="B1142" s="11"/>
      <c r="C1142" s="11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  <c r="AA1142" s="12"/>
      <c r="AB1142" s="12"/>
      <c r="AC1142" s="12"/>
      <c r="AD1142" s="12"/>
      <c r="AE1142" s="11"/>
    </row>
    <row r="1143" spans="2:31" ht="15">
      <c r="B1143" s="11"/>
      <c r="C1143" s="11"/>
      <c r="P1143" s="12"/>
      <c r="Q1143" s="12"/>
      <c r="R1143" s="12"/>
      <c r="S1143" s="12"/>
      <c r="T1143" s="12"/>
      <c r="U1143" s="12"/>
      <c r="V1143" s="12"/>
      <c r="W1143" s="12"/>
      <c r="X1143" s="12"/>
      <c r="Y1143" s="12"/>
      <c r="Z1143" s="12"/>
      <c r="AA1143" s="12"/>
      <c r="AB1143" s="12"/>
      <c r="AC1143" s="12"/>
      <c r="AD1143" s="12"/>
      <c r="AE1143" s="11"/>
    </row>
    <row r="1144" spans="2:31" ht="15">
      <c r="B1144" s="11"/>
      <c r="C1144" s="11"/>
      <c r="P1144" s="12"/>
      <c r="Q1144" s="12"/>
      <c r="R1144" s="12"/>
      <c r="S1144" s="12"/>
      <c r="T1144" s="12"/>
      <c r="U1144" s="12"/>
      <c r="V1144" s="12"/>
      <c r="W1144" s="12"/>
      <c r="X1144" s="12"/>
      <c r="Y1144" s="12"/>
      <c r="Z1144" s="12"/>
      <c r="AA1144" s="12"/>
      <c r="AB1144" s="12"/>
      <c r="AC1144" s="12"/>
      <c r="AD1144" s="12"/>
      <c r="AE1144" s="11"/>
    </row>
    <row r="1145" spans="2:31" ht="15">
      <c r="B1145" s="11"/>
      <c r="C1145" s="11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  <c r="AA1145" s="12"/>
      <c r="AB1145" s="12"/>
      <c r="AC1145" s="12"/>
      <c r="AD1145" s="12"/>
      <c r="AE1145" s="11"/>
    </row>
    <row r="1146" spans="2:31" ht="15">
      <c r="B1146" s="11"/>
      <c r="C1146" s="11"/>
      <c r="P1146" s="12"/>
      <c r="Q1146" s="12"/>
      <c r="R1146" s="12"/>
      <c r="S1146" s="12"/>
      <c r="T1146" s="12"/>
      <c r="U1146" s="12"/>
      <c r="V1146" s="12"/>
      <c r="W1146" s="12"/>
      <c r="X1146" s="12"/>
      <c r="Y1146" s="12"/>
      <c r="Z1146" s="12"/>
      <c r="AA1146" s="12"/>
      <c r="AB1146" s="12"/>
      <c r="AC1146" s="12"/>
      <c r="AD1146" s="12"/>
      <c r="AE1146" s="11"/>
    </row>
    <row r="1147" spans="2:31" ht="15">
      <c r="B1147" s="11"/>
      <c r="C1147" s="11"/>
      <c r="P1147" s="12"/>
      <c r="Q1147" s="12"/>
      <c r="R1147" s="12"/>
      <c r="S1147" s="12"/>
      <c r="T1147" s="12"/>
      <c r="U1147" s="12"/>
      <c r="V1147" s="12"/>
      <c r="W1147" s="12"/>
      <c r="X1147" s="12"/>
      <c r="Y1147" s="12"/>
      <c r="Z1147" s="12"/>
      <c r="AA1147" s="12"/>
      <c r="AB1147" s="12"/>
      <c r="AC1147" s="12"/>
      <c r="AD1147" s="12"/>
      <c r="AE1147" s="11"/>
    </row>
    <row r="1148" spans="2:31" ht="15">
      <c r="B1148" s="11"/>
      <c r="C1148" s="11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  <c r="AA1148" s="12"/>
      <c r="AB1148" s="12"/>
      <c r="AC1148" s="12"/>
      <c r="AD1148" s="12"/>
      <c r="AE1148" s="11"/>
    </row>
    <row r="1149" spans="2:31" ht="15">
      <c r="B1149" s="11"/>
      <c r="C1149" s="11"/>
      <c r="P1149" s="12"/>
      <c r="Q1149" s="12"/>
      <c r="R1149" s="12"/>
      <c r="S1149" s="12"/>
      <c r="T1149" s="12"/>
      <c r="U1149" s="12"/>
      <c r="V1149" s="12"/>
      <c r="W1149" s="12"/>
      <c r="X1149" s="12"/>
      <c r="Y1149" s="12"/>
      <c r="Z1149" s="12"/>
      <c r="AA1149" s="12"/>
      <c r="AB1149" s="12"/>
      <c r="AC1149" s="12"/>
      <c r="AD1149" s="12"/>
      <c r="AE1149" s="11"/>
    </row>
    <row r="1150" spans="2:31" ht="15">
      <c r="B1150" s="11"/>
      <c r="C1150" s="11"/>
      <c r="P1150" s="12"/>
      <c r="Q1150" s="12"/>
      <c r="R1150" s="12"/>
      <c r="S1150" s="12"/>
      <c r="T1150" s="12"/>
      <c r="U1150" s="12"/>
      <c r="V1150" s="12"/>
      <c r="W1150" s="12"/>
      <c r="X1150" s="12"/>
      <c r="Y1150" s="12"/>
      <c r="Z1150" s="12"/>
      <c r="AA1150" s="12"/>
      <c r="AB1150" s="12"/>
      <c r="AC1150" s="12"/>
      <c r="AD1150" s="12"/>
      <c r="AE1150" s="11"/>
    </row>
    <row r="1151" spans="2:31" ht="15">
      <c r="B1151" s="11"/>
      <c r="C1151" s="11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  <c r="AA1151" s="12"/>
      <c r="AB1151" s="12"/>
      <c r="AC1151" s="12"/>
      <c r="AD1151" s="12"/>
      <c r="AE1151" s="11"/>
    </row>
    <row r="1152" spans="2:31" ht="15">
      <c r="B1152" s="11"/>
      <c r="C1152" s="11"/>
      <c r="P1152" s="12"/>
      <c r="Q1152" s="12"/>
      <c r="R1152" s="12"/>
      <c r="S1152" s="12"/>
      <c r="T1152" s="12"/>
      <c r="U1152" s="12"/>
      <c r="V1152" s="12"/>
      <c r="W1152" s="12"/>
      <c r="X1152" s="12"/>
      <c r="Y1152" s="12"/>
      <c r="Z1152" s="12"/>
      <c r="AA1152" s="12"/>
      <c r="AB1152" s="12"/>
      <c r="AC1152" s="12"/>
      <c r="AD1152" s="12"/>
      <c r="AE1152" s="11"/>
    </row>
    <row r="1153" spans="2:31" ht="15">
      <c r="B1153" s="11"/>
      <c r="C1153" s="11"/>
      <c r="P1153" s="12"/>
      <c r="Q1153" s="12"/>
      <c r="R1153" s="12"/>
      <c r="S1153" s="12"/>
      <c r="T1153" s="12"/>
      <c r="U1153" s="12"/>
      <c r="V1153" s="12"/>
      <c r="W1153" s="12"/>
      <c r="X1153" s="12"/>
      <c r="Y1153" s="12"/>
      <c r="Z1153" s="12"/>
      <c r="AA1153" s="12"/>
      <c r="AB1153" s="12"/>
      <c r="AC1153" s="12"/>
      <c r="AD1153" s="12"/>
      <c r="AE1153" s="11"/>
    </row>
    <row r="1154" spans="2:31" ht="15">
      <c r="B1154" s="11"/>
      <c r="C1154" s="11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  <c r="AA1154" s="12"/>
      <c r="AB1154" s="12"/>
      <c r="AC1154" s="12"/>
      <c r="AD1154" s="12"/>
      <c r="AE1154" s="11"/>
    </row>
    <row r="1155" spans="2:31" ht="15">
      <c r="B1155" s="11"/>
      <c r="C1155" s="11"/>
      <c r="P1155" s="12"/>
      <c r="Q1155" s="12"/>
      <c r="R1155" s="12"/>
      <c r="S1155" s="12"/>
      <c r="T1155" s="12"/>
      <c r="U1155" s="12"/>
      <c r="V1155" s="12"/>
      <c r="W1155" s="12"/>
      <c r="X1155" s="12"/>
      <c r="Y1155" s="12"/>
      <c r="Z1155" s="12"/>
      <c r="AA1155" s="12"/>
      <c r="AB1155" s="12"/>
      <c r="AC1155" s="12"/>
      <c r="AD1155" s="12"/>
      <c r="AE1155" s="11"/>
    </row>
    <row r="1156" spans="2:31" ht="15">
      <c r="B1156" s="11"/>
      <c r="C1156" s="11"/>
      <c r="P1156" s="12"/>
      <c r="Q1156" s="12"/>
      <c r="R1156" s="12"/>
      <c r="S1156" s="12"/>
      <c r="T1156" s="12"/>
      <c r="U1156" s="12"/>
      <c r="V1156" s="12"/>
      <c r="W1156" s="12"/>
      <c r="X1156" s="12"/>
      <c r="Y1156" s="12"/>
      <c r="Z1156" s="12"/>
      <c r="AA1156" s="12"/>
      <c r="AB1156" s="12"/>
      <c r="AC1156" s="12"/>
      <c r="AD1156" s="12"/>
      <c r="AE1156" s="11"/>
    </row>
    <row r="1157" spans="2:31" ht="15">
      <c r="B1157" s="11"/>
      <c r="C1157" s="11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  <c r="AA1157" s="12"/>
      <c r="AB1157" s="12"/>
      <c r="AC1157" s="12"/>
      <c r="AD1157" s="12"/>
      <c r="AE1157" s="11"/>
    </row>
    <row r="1158" spans="2:31" ht="15">
      <c r="B1158" s="11"/>
      <c r="C1158" s="11"/>
      <c r="P1158" s="12"/>
      <c r="Q1158" s="12"/>
      <c r="R1158" s="12"/>
      <c r="S1158" s="12"/>
      <c r="T1158" s="12"/>
      <c r="U1158" s="12"/>
      <c r="V1158" s="12"/>
      <c r="W1158" s="12"/>
      <c r="X1158" s="12"/>
      <c r="Y1158" s="12"/>
      <c r="Z1158" s="12"/>
      <c r="AA1158" s="12"/>
      <c r="AB1158" s="12"/>
      <c r="AC1158" s="12"/>
      <c r="AD1158" s="12"/>
      <c r="AE1158" s="11"/>
    </row>
    <row r="1159" spans="2:31" ht="15">
      <c r="B1159" s="11"/>
      <c r="C1159" s="11"/>
      <c r="P1159" s="12"/>
      <c r="Q1159" s="12"/>
      <c r="R1159" s="12"/>
      <c r="S1159" s="12"/>
      <c r="T1159" s="12"/>
      <c r="U1159" s="12"/>
      <c r="V1159" s="12"/>
      <c r="W1159" s="12"/>
      <c r="X1159" s="12"/>
      <c r="Y1159" s="12"/>
      <c r="Z1159" s="12"/>
      <c r="AA1159" s="12"/>
      <c r="AB1159" s="12"/>
      <c r="AC1159" s="12"/>
      <c r="AD1159" s="12"/>
      <c r="AE1159" s="11"/>
    </row>
    <row r="1160" spans="2:31" ht="15">
      <c r="B1160" s="11"/>
      <c r="C1160" s="11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  <c r="AA1160" s="12"/>
      <c r="AB1160" s="12"/>
      <c r="AC1160" s="12"/>
      <c r="AD1160" s="12"/>
      <c r="AE1160" s="11"/>
    </row>
    <row r="1161" spans="2:31" ht="15">
      <c r="B1161" s="11"/>
      <c r="C1161" s="11"/>
      <c r="P1161" s="12"/>
      <c r="Q1161" s="12"/>
      <c r="R1161" s="12"/>
      <c r="S1161" s="12"/>
      <c r="T1161" s="12"/>
      <c r="U1161" s="12"/>
      <c r="V1161" s="12"/>
      <c r="W1161" s="12"/>
      <c r="X1161" s="12"/>
      <c r="Y1161" s="12"/>
      <c r="Z1161" s="12"/>
      <c r="AA1161" s="12"/>
      <c r="AB1161" s="12"/>
      <c r="AC1161" s="12"/>
      <c r="AD1161" s="12"/>
      <c r="AE1161" s="11"/>
    </row>
    <row r="1162" spans="2:31" ht="15">
      <c r="B1162" s="11"/>
      <c r="C1162" s="11"/>
      <c r="P1162" s="12"/>
      <c r="Q1162" s="12"/>
      <c r="R1162" s="12"/>
      <c r="S1162" s="12"/>
      <c r="T1162" s="12"/>
      <c r="U1162" s="12"/>
      <c r="V1162" s="12"/>
      <c r="W1162" s="12"/>
      <c r="X1162" s="12"/>
      <c r="Y1162" s="12"/>
      <c r="Z1162" s="12"/>
      <c r="AA1162" s="12"/>
      <c r="AB1162" s="12"/>
      <c r="AC1162" s="12"/>
      <c r="AD1162" s="12"/>
      <c r="AE1162" s="11"/>
    </row>
    <row r="1163" spans="2:31" ht="15">
      <c r="B1163" s="11"/>
      <c r="C1163" s="11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  <c r="AA1163" s="12"/>
      <c r="AB1163" s="12"/>
      <c r="AC1163" s="12"/>
      <c r="AD1163" s="12"/>
      <c r="AE1163" s="11"/>
    </row>
    <row r="1164" spans="2:31" ht="15">
      <c r="B1164" s="11"/>
      <c r="C1164" s="11"/>
      <c r="P1164" s="12"/>
      <c r="Q1164" s="12"/>
      <c r="R1164" s="12"/>
      <c r="S1164" s="12"/>
      <c r="T1164" s="12"/>
      <c r="U1164" s="12"/>
      <c r="V1164" s="12"/>
      <c r="W1164" s="12"/>
      <c r="X1164" s="12"/>
      <c r="Y1164" s="12"/>
      <c r="Z1164" s="12"/>
      <c r="AA1164" s="12"/>
      <c r="AB1164" s="12"/>
      <c r="AC1164" s="12"/>
      <c r="AD1164" s="12"/>
      <c r="AE1164" s="11"/>
    </row>
    <row r="1165" spans="2:31" ht="15">
      <c r="B1165" s="11"/>
      <c r="C1165" s="11"/>
      <c r="P1165" s="12"/>
      <c r="Q1165" s="12"/>
      <c r="R1165" s="12"/>
      <c r="S1165" s="12"/>
      <c r="T1165" s="12"/>
      <c r="U1165" s="12"/>
      <c r="V1165" s="12"/>
      <c r="W1165" s="12"/>
      <c r="X1165" s="12"/>
      <c r="Y1165" s="12"/>
      <c r="Z1165" s="12"/>
      <c r="AA1165" s="12"/>
      <c r="AB1165" s="12"/>
      <c r="AC1165" s="12"/>
      <c r="AD1165" s="12"/>
      <c r="AE1165" s="11"/>
    </row>
    <row r="1166" spans="2:31" ht="15">
      <c r="B1166" s="11"/>
      <c r="C1166" s="11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  <c r="AA1166" s="12"/>
      <c r="AB1166" s="12"/>
      <c r="AC1166" s="12"/>
      <c r="AD1166" s="12"/>
      <c r="AE1166" s="11"/>
    </row>
    <row r="1167" spans="2:31" ht="15">
      <c r="B1167" s="11"/>
      <c r="C1167" s="11"/>
      <c r="P1167" s="12"/>
      <c r="Q1167" s="12"/>
      <c r="R1167" s="12"/>
      <c r="S1167" s="12"/>
      <c r="T1167" s="12"/>
      <c r="U1167" s="12"/>
      <c r="V1167" s="12"/>
      <c r="W1167" s="12"/>
      <c r="X1167" s="12"/>
      <c r="Y1167" s="12"/>
      <c r="Z1167" s="12"/>
      <c r="AA1167" s="12"/>
      <c r="AB1167" s="12"/>
      <c r="AC1167" s="12"/>
      <c r="AD1167" s="12"/>
      <c r="AE1167" s="11"/>
    </row>
    <row r="1168" spans="2:31" ht="15">
      <c r="B1168" s="11"/>
      <c r="C1168" s="11"/>
      <c r="P1168" s="12"/>
      <c r="Q1168" s="12"/>
      <c r="R1168" s="12"/>
      <c r="S1168" s="12"/>
      <c r="T1168" s="12"/>
      <c r="U1168" s="12"/>
      <c r="V1168" s="12"/>
      <c r="W1168" s="12"/>
      <c r="X1168" s="12"/>
      <c r="Y1168" s="12"/>
      <c r="Z1168" s="12"/>
      <c r="AA1168" s="12"/>
      <c r="AB1168" s="12"/>
      <c r="AC1168" s="12"/>
      <c r="AD1168" s="12"/>
      <c r="AE1168" s="11"/>
    </row>
    <row r="1169" spans="2:31" ht="15">
      <c r="B1169" s="11"/>
      <c r="C1169" s="11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  <c r="AA1169" s="12"/>
      <c r="AB1169" s="12"/>
      <c r="AC1169" s="12"/>
      <c r="AD1169" s="12"/>
      <c r="AE1169" s="11"/>
    </row>
    <row r="1170" spans="2:31" ht="15">
      <c r="B1170" s="11"/>
      <c r="C1170" s="11"/>
      <c r="P1170" s="12"/>
      <c r="Q1170" s="12"/>
      <c r="R1170" s="12"/>
      <c r="S1170" s="12"/>
      <c r="T1170" s="12"/>
      <c r="U1170" s="12"/>
      <c r="V1170" s="12"/>
      <c r="W1170" s="12"/>
      <c r="X1170" s="12"/>
      <c r="Y1170" s="12"/>
      <c r="Z1170" s="12"/>
      <c r="AA1170" s="12"/>
      <c r="AB1170" s="12"/>
      <c r="AC1170" s="12"/>
      <c r="AD1170" s="12"/>
      <c r="AE1170" s="11"/>
    </row>
    <row r="1171" spans="2:31" ht="15">
      <c r="B1171" s="11"/>
      <c r="C1171" s="11"/>
      <c r="P1171" s="12"/>
      <c r="Q1171" s="12"/>
      <c r="R1171" s="12"/>
      <c r="S1171" s="12"/>
      <c r="T1171" s="12"/>
      <c r="U1171" s="12"/>
      <c r="V1171" s="12"/>
      <c r="W1171" s="12"/>
      <c r="X1171" s="12"/>
      <c r="Y1171" s="12"/>
      <c r="Z1171" s="12"/>
      <c r="AA1171" s="12"/>
      <c r="AB1171" s="12"/>
      <c r="AC1171" s="12"/>
      <c r="AD1171" s="12"/>
      <c r="AE1171" s="11"/>
    </row>
    <row r="1172" spans="2:31" ht="15">
      <c r="B1172" s="11"/>
      <c r="C1172" s="11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  <c r="AA1172" s="12"/>
      <c r="AB1172" s="12"/>
      <c r="AC1172" s="12"/>
      <c r="AD1172" s="12"/>
      <c r="AE1172" s="11"/>
    </row>
    <row r="1173" spans="2:31" ht="15">
      <c r="B1173" s="11"/>
      <c r="C1173" s="11"/>
      <c r="P1173" s="12"/>
      <c r="Q1173" s="12"/>
      <c r="R1173" s="12"/>
      <c r="S1173" s="12"/>
      <c r="T1173" s="12"/>
      <c r="U1173" s="12"/>
      <c r="V1173" s="12"/>
      <c r="W1173" s="12"/>
      <c r="X1173" s="12"/>
      <c r="Y1173" s="12"/>
      <c r="Z1173" s="12"/>
      <c r="AA1173" s="12"/>
      <c r="AB1173" s="12"/>
      <c r="AC1173" s="12"/>
      <c r="AD1173" s="12"/>
      <c r="AE1173" s="11"/>
    </row>
    <row r="1174" spans="2:31" ht="15">
      <c r="B1174" s="11"/>
      <c r="C1174" s="11"/>
      <c r="P1174" s="12"/>
      <c r="Q1174" s="12"/>
      <c r="R1174" s="12"/>
      <c r="S1174" s="12"/>
      <c r="T1174" s="12"/>
      <c r="U1174" s="12"/>
      <c r="V1174" s="12"/>
      <c r="W1174" s="12"/>
      <c r="X1174" s="12"/>
      <c r="Y1174" s="12"/>
      <c r="Z1174" s="12"/>
      <c r="AA1174" s="12"/>
      <c r="AB1174" s="12"/>
      <c r="AC1174" s="12"/>
      <c r="AD1174" s="12"/>
      <c r="AE1174" s="11"/>
    </row>
    <row r="1175" spans="2:31" ht="15">
      <c r="B1175" s="11"/>
      <c r="C1175" s="11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  <c r="AA1175" s="12"/>
      <c r="AB1175" s="12"/>
      <c r="AC1175" s="12"/>
      <c r="AD1175" s="12"/>
      <c r="AE1175" s="11"/>
    </row>
    <row r="1176" spans="2:31" ht="15">
      <c r="B1176" s="11"/>
      <c r="C1176" s="11"/>
      <c r="P1176" s="12"/>
      <c r="Q1176" s="12"/>
      <c r="R1176" s="12"/>
      <c r="S1176" s="12"/>
      <c r="T1176" s="12"/>
      <c r="U1176" s="12"/>
      <c r="V1176" s="12"/>
      <c r="W1176" s="12"/>
      <c r="X1176" s="12"/>
      <c r="Y1176" s="12"/>
      <c r="Z1176" s="12"/>
      <c r="AA1176" s="12"/>
      <c r="AB1176" s="12"/>
      <c r="AC1176" s="12"/>
      <c r="AD1176" s="12"/>
      <c r="AE1176" s="11"/>
    </row>
    <row r="1177" spans="2:31" ht="15">
      <c r="B1177" s="11"/>
      <c r="C1177" s="11"/>
      <c r="P1177" s="12"/>
      <c r="Q1177" s="12"/>
      <c r="R1177" s="12"/>
      <c r="S1177" s="12"/>
      <c r="T1177" s="12"/>
      <c r="U1177" s="12"/>
      <c r="V1177" s="12"/>
      <c r="W1177" s="12"/>
      <c r="X1177" s="12"/>
      <c r="Y1177" s="12"/>
      <c r="Z1177" s="12"/>
      <c r="AA1177" s="12"/>
      <c r="AB1177" s="12"/>
      <c r="AC1177" s="12"/>
      <c r="AD1177" s="12"/>
      <c r="AE1177" s="11"/>
    </row>
    <row r="1178" spans="2:31" ht="15">
      <c r="B1178" s="11"/>
      <c r="C1178" s="11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  <c r="AA1178" s="12"/>
      <c r="AB1178" s="12"/>
      <c r="AC1178" s="12"/>
      <c r="AD1178" s="12"/>
      <c r="AE1178" s="11"/>
    </row>
    <row r="1179" spans="2:31" ht="15">
      <c r="B1179" s="11"/>
      <c r="C1179" s="11"/>
      <c r="P1179" s="12"/>
      <c r="Q1179" s="12"/>
      <c r="R1179" s="12"/>
      <c r="S1179" s="12"/>
      <c r="T1179" s="12"/>
      <c r="U1179" s="12"/>
      <c r="V1179" s="12"/>
      <c r="W1179" s="12"/>
      <c r="X1179" s="12"/>
      <c r="Y1179" s="12"/>
      <c r="Z1179" s="12"/>
      <c r="AA1179" s="12"/>
      <c r="AB1179" s="12"/>
      <c r="AC1179" s="12"/>
      <c r="AD1179" s="12"/>
      <c r="AE1179" s="11"/>
    </row>
    <row r="1180" spans="2:31" ht="15">
      <c r="B1180" s="11"/>
      <c r="C1180" s="11"/>
      <c r="P1180" s="12"/>
      <c r="Q1180" s="12"/>
      <c r="R1180" s="12"/>
      <c r="S1180" s="12"/>
      <c r="T1180" s="12"/>
      <c r="U1180" s="12"/>
      <c r="V1180" s="12"/>
      <c r="W1180" s="12"/>
      <c r="X1180" s="12"/>
      <c r="Y1180" s="12"/>
      <c r="Z1180" s="12"/>
      <c r="AA1180" s="12"/>
      <c r="AB1180" s="12"/>
      <c r="AC1180" s="12"/>
      <c r="AD1180" s="12"/>
      <c r="AE1180" s="11"/>
    </row>
    <row r="1181" spans="2:31" ht="15">
      <c r="B1181" s="11"/>
      <c r="C1181" s="11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  <c r="AA1181" s="12"/>
      <c r="AB1181" s="12"/>
      <c r="AC1181" s="12"/>
      <c r="AD1181" s="12"/>
      <c r="AE1181" s="11"/>
    </row>
    <row r="1182" spans="2:31" ht="15">
      <c r="B1182" s="11"/>
      <c r="C1182" s="11"/>
      <c r="P1182" s="12"/>
      <c r="Q1182" s="12"/>
      <c r="R1182" s="12"/>
      <c r="S1182" s="12"/>
      <c r="T1182" s="12"/>
      <c r="U1182" s="12"/>
      <c r="V1182" s="12"/>
      <c r="W1182" s="12"/>
      <c r="X1182" s="12"/>
      <c r="Y1182" s="12"/>
      <c r="Z1182" s="12"/>
      <c r="AA1182" s="12"/>
      <c r="AB1182" s="12"/>
      <c r="AC1182" s="12"/>
      <c r="AD1182" s="12"/>
      <c r="AE1182" s="11"/>
    </row>
    <row r="1183" spans="2:31" ht="15">
      <c r="B1183" s="11"/>
      <c r="C1183" s="11"/>
      <c r="P1183" s="12"/>
      <c r="Q1183" s="12"/>
      <c r="R1183" s="12"/>
      <c r="S1183" s="12"/>
      <c r="T1183" s="12"/>
      <c r="U1183" s="12"/>
      <c r="V1183" s="12"/>
      <c r="W1183" s="12"/>
      <c r="X1183" s="12"/>
      <c r="Y1183" s="12"/>
      <c r="Z1183" s="12"/>
      <c r="AA1183" s="12"/>
      <c r="AB1183" s="12"/>
      <c r="AC1183" s="12"/>
      <c r="AD1183" s="12"/>
      <c r="AE1183" s="11"/>
    </row>
    <row r="1184" spans="2:31" ht="15">
      <c r="B1184" s="11"/>
      <c r="C1184" s="11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  <c r="AA1184" s="12"/>
      <c r="AB1184" s="12"/>
      <c r="AC1184" s="12"/>
      <c r="AD1184" s="12"/>
      <c r="AE1184" s="11"/>
    </row>
    <row r="1185" spans="2:31" ht="15">
      <c r="B1185" s="11"/>
      <c r="C1185" s="11"/>
      <c r="P1185" s="12"/>
      <c r="Q1185" s="12"/>
      <c r="R1185" s="12"/>
      <c r="S1185" s="12"/>
      <c r="T1185" s="12"/>
      <c r="U1185" s="12"/>
      <c r="V1185" s="12"/>
      <c r="W1185" s="12"/>
      <c r="X1185" s="12"/>
      <c r="Y1185" s="12"/>
      <c r="Z1185" s="12"/>
      <c r="AA1185" s="12"/>
      <c r="AB1185" s="12"/>
      <c r="AC1185" s="12"/>
      <c r="AD1185" s="12"/>
      <c r="AE1185" s="11"/>
    </row>
    <row r="1186" spans="2:31" ht="15">
      <c r="B1186" s="11"/>
      <c r="C1186" s="11"/>
      <c r="P1186" s="12"/>
      <c r="Q1186" s="12"/>
      <c r="R1186" s="12"/>
      <c r="S1186" s="12"/>
      <c r="T1186" s="12"/>
      <c r="U1186" s="12"/>
      <c r="V1186" s="12"/>
      <c r="W1186" s="12"/>
      <c r="X1186" s="12"/>
      <c r="Y1186" s="12"/>
      <c r="Z1186" s="12"/>
      <c r="AA1186" s="12"/>
      <c r="AB1186" s="12"/>
      <c r="AC1186" s="12"/>
      <c r="AD1186" s="12"/>
      <c r="AE1186" s="11"/>
    </row>
    <row r="1187" spans="2:31" ht="15">
      <c r="B1187" s="11"/>
      <c r="C1187" s="11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  <c r="AA1187" s="12"/>
      <c r="AB1187" s="12"/>
      <c r="AC1187" s="12"/>
      <c r="AD1187" s="12"/>
      <c r="AE1187" s="11"/>
    </row>
    <row r="1188" spans="2:31" ht="15">
      <c r="B1188" s="11"/>
      <c r="C1188" s="11"/>
      <c r="P1188" s="12"/>
      <c r="Q1188" s="12"/>
      <c r="R1188" s="12"/>
      <c r="S1188" s="12"/>
      <c r="T1188" s="12"/>
      <c r="U1188" s="12"/>
      <c r="V1188" s="12"/>
      <c r="W1188" s="12"/>
      <c r="X1188" s="12"/>
      <c r="Y1188" s="12"/>
      <c r="Z1188" s="12"/>
      <c r="AA1188" s="12"/>
      <c r="AB1188" s="12"/>
      <c r="AC1188" s="12"/>
      <c r="AD1188" s="12"/>
      <c r="AE1188" s="11"/>
    </row>
    <row r="1189" spans="2:31" ht="15">
      <c r="B1189" s="11"/>
      <c r="C1189" s="11"/>
      <c r="P1189" s="12"/>
      <c r="Q1189" s="12"/>
      <c r="R1189" s="12"/>
      <c r="S1189" s="12"/>
      <c r="T1189" s="12"/>
      <c r="U1189" s="12"/>
      <c r="V1189" s="12"/>
      <c r="W1189" s="12"/>
      <c r="X1189" s="12"/>
      <c r="Y1189" s="12"/>
      <c r="Z1189" s="12"/>
      <c r="AA1189" s="12"/>
      <c r="AB1189" s="12"/>
      <c r="AC1189" s="12"/>
      <c r="AD1189" s="12"/>
      <c r="AE1189" s="11"/>
    </row>
    <row r="1190" spans="2:31" ht="15">
      <c r="B1190" s="11"/>
      <c r="C1190" s="11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  <c r="AA1190" s="12"/>
      <c r="AB1190" s="12"/>
      <c r="AC1190" s="12"/>
      <c r="AD1190" s="12"/>
      <c r="AE1190" s="11"/>
    </row>
    <row r="1191" spans="2:31" ht="15">
      <c r="B1191" s="11"/>
      <c r="C1191" s="11"/>
      <c r="P1191" s="12"/>
      <c r="Q1191" s="12"/>
      <c r="R1191" s="12"/>
      <c r="S1191" s="12"/>
      <c r="T1191" s="12"/>
      <c r="U1191" s="12"/>
      <c r="V1191" s="12"/>
      <c r="W1191" s="12"/>
      <c r="X1191" s="12"/>
      <c r="Y1191" s="12"/>
      <c r="Z1191" s="12"/>
      <c r="AA1191" s="12"/>
      <c r="AB1191" s="12"/>
      <c r="AC1191" s="12"/>
      <c r="AD1191" s="12"/>
      <c r="AE1191" s="11"/>
    </row>
    <row r="1192" spans="2:31" ht="15">
      <c r="B1192" s="11"/>
      <c r="C1192" s="11"/>
      <c r="P1192" s="12"/>
      <c r="Q1192" s="12"/>
      <c r="R1192" s="12"/>
      <c r="S1192" s="12"/>
      <c r="T1192" s="12"/>
      <c r="U1192" s="12"/>
      <c r="V1192" s="12"/>
      <c r="W1192" s="12"/>
      <c r="X1192" s="12"/>
      <c r="Y1192" s="12"/>
      <c r="Z1192" s="12"/>
      <c r="AA1192" s="12"/>
      <c r="AB1192" s="12"/>
      <c r="AC1192" s="12"/>
      <c r="AD1192" s="12"/>
      <c r="AE1192" s="11"/>
    </row>
    <row r="1193" spans="2:31" ht="15">
      <c r="B1193" s="11"/>
      <c r="C1193" s="11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1"/>
    </row>
    <row r="1194" spans="2:31" ht="15">
      <c r="B1194" s="11"/>
      <c r="C1194" s="11"/>
      <c r="P1194" s="12"/>
      <c r="Q1194" s="12"/>
      <c r="R1194" s="12"/>
      <c r="S1194" s="12"/>
      <c r="T1194" s="12"/>
      <c r="U1194" s="12"/>
      <c r="V1194" s="12"/>
      <c r="W1194" s="12"/>
      <c r="X1194" s="12"/>
      <c r="Y1194" s="12"/>
      <c r="Z1194" s="12"/>
      <c r="AA1194" s="12"/>
      <c r="AB1194" s="12"/>
      <c r="AC1194" s="12"/>
      <c r="AD1194" s="12"/>
      <c r="AE1194" s="11"/>
    </row>
    <row r="1195" spans="2:31" ht="15">
      <c r="B1195" s="11"/>
      <c r="C1195" s="11"/>
      <c r="P1195" s="12"/>
      <c r="Q1195" s="12"/>
      <c r="R1195" s="12"/>
      <c r="S1195" s="12"/>
      <c r="T1195" s="12"/>
      <c r="U1195" s="12"/>
      <c r="V1195" s="12"/>
      <c r="W1195" s="12"/>
      <c r="X1195" s="12"/>
      <c r="Y1195" s="12"/>
      <c r="Z1195" s="12"/>
      <c r="AA1195" s="12"/>
      <c r="AB1195" s="12"/>
      <c r="AC1195" s="12"/>
      <c r="AD1195" s="12"/>
      <c r="AE1195" s="11"/>
    </row>
    <row r="1196" spans="2:31" ht="15">
      <c r="B1196" s="11"/>
      <c r="C1196" s="11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  <c r="AA1196" s="12"/>
      <c r="AB1196" s="12"/>
      <c r="AC1196" s="12"/>
      <c r="AD1196" s="12"/>
      <c r="AE1196" s="11"/>
    </row>
    <row r="1197" spans="2:31" ht="15">
      <c r="B1197" s="11"/>
      <c r="C1197" s="11"/>
      <c r="P1197" s="12"/>
      <c r="Q1197" s="12"/>
      <c r="R1197" s="12"/>
      <c r="S1197" s="12"/>
      <c r="T1197" s="12"/>
      <c r="U1197" s="12"/>
      <c r="V1197" s="12"/>
      <c r="W1197" s="12"/>
      <c r="X1197" s="12"/>
      <c r="Y1197" s="12"/>
      <c r="Z1197" s="12"/>
      <c r="AA1197" s="12"/>
      <c r="AB1197" s="12"/>
      <c r="AC1197" s="12"/>
      <c r="AD1197" s="12"/>
      <c r="AE1197" s="11"/>
    </row>
    <row r="1198" spans="2:31" ht="15">
      <c r="B1198" s="11"/>
      <c r="C1198" s="11"/>
      <c r="P1198" s="12"/>
      <c r="Q1198" s="12"/>
      <c r="R1198" s="12"/>
      <c r="S1198" s="12"/>
      <c r="T1198" s="12"/>
      <c r="U1198" s="12"/>
      <c r="V1198" s="12"/>
      <c r="W1198" s="12"/>
      <c r="X1198" s="12"/>
      <c r="Y1198" s="12"/>
      <c r="Z1198" s="12"/>
      <c r="AA1198" s="12"/>
      <c r="AB1198" s="12"/>
      <c r="AC1198" s="12"/>
      <c r="AD1198" s="12"/>
      <c r="AE1198" s="11"/>
    </row>
    <row r="1199" spans="2:31" ht="15">
      <c r="B1199" s="11"/>
      <c r="C1199" s="11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  <c r="AA1199" s="12"/>
      <c r="AB1199" s="12"/>
      <c r="AC1199" s="12"/>
      <c r="AD1199" s="12"/>
      <c r="AE1199" s="11"/>
    </row>
    <row r="1200" spans="2:31" ht="15">
      <c r="B1200" s="11"/>
      <c r="C1200" s="11"/>
      <c r="P1200" s="12"/>
      <c r="Q1200" s="12"/>
      <c r="R1200" s="12"/>
      <c r="S1200" s="12"/>
      <c r="T1200" s="12"/>
      <c r="U1200" s="12"/>
      <c r="V1200" s="12"/>
      <c r="W1200" s="12"/>
      <c r="X1200" s="12"/>
      <c r="Y1200" s="12"/>
      <c r="Z1200" s="12"/>
      <c r="AA1200" s="12"/>
      <c r="AB1200" s="12"/>
      <c r="AC1200" s="12"/>
      <c r="AD1200" s="12"/>
      <c r="AE1200" s="11"/>
    </row>
    <row r="1201" spans="2:31" ht="15">
      <c r="B1201" s="11"/>
      <c r="C1201" s="11"/>
      <c r="P1201" s="12"/>
      <c r="Q1201" s="12"/>
      <c r="R1201" s="12"/>
      <c r="S1201" s="12"/>
      <c r="T1201" s="12"/>
      <c r="U1201" s="12"/>
      <c r="V1201" s="12"/>
      <c r="W1201" s="12"/>
      <c r="X1201" s="12"/>
      <c r="Y1201" s="12"/>
      <c r="Z1201" s="12"/>
      <c r="AA1201" s="12"/>
      <c r="AB1201" s="12"/>
      <c r="AC1201" s="12"/>
      <c r="AD1201" s="12"/>
      <c r="AE1201" s="11"/>
    </row>
    <row r="1202" spans="2:31" ht="15">
      <c r="B1202" s="11"/>
      <c r="C1202" s="11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  <c r="AA1202" s="12"/>
      <c r="AB1202" s="12"/>
      <c r="AC1202" s="12"/>
      <c r="AD1202" s="12"/>
      <c r="AE1202" s="11"/>
    </row>
    <row r="1203" spans="2:31" ht="15">
      <c r="B1203" s="11"/>
      <c r="C1203" s="11"/>
      <c r="P1203" s="12"/>
      <c r="Q1203" s="12"/>
      <c r="R1203" s="12"/>
      <c r="S1203" s="12"/>
      <c r="T1203" s="12"/>
      <c r="U1203" s="12"/>
      <c r="V1203" s="12"/>
      <c r="W1203" s="12"/>
      <c r="X1203" s="12"/>
      <c r="Y1203" s="12"/>
      <c r="Z1203" s="12"/>
      <c r="AA1203" s="12"/>
      <c r="AB1203" s="12"/>
      <c r="AC1203" s="12"/>
      <c r="AD1203" s="12"/>
      <c r="AE1203" s="11"/>
    </row>
    <row r="1204" spans="2:31" ht="15">
      <c r="B1204" s="11"/>
      <c r="C1204" s="11"/>
      <c r="P1204" s="12"/>
      <c r="Q1204" s="12"/>
      <c r="R1204" s="12"/>
      <c r="S1204" s="12"/>
      <c r="T1204" s="12"/>
      <c r="U1204" s="12"/>
      <c r="V1204" s="12"/>
      <c r="W1204" s="12"/>
      <c r="X1204" s="12"/>
      <c r="Y1204" s="12"/>
      <c r="Z1204" s="12"/>
      <c r="AA1204" s="12"/>
      <c r="AB1204" s="12"/>
      <c r="AC1204" s="12"/>
      <c r="AD1204" s="12"/>
      <c r="AE1204" s="11"/>
    </row>
    <row r="1205" spans="2:31" ht="15">
      <c r="B1205" s="11"/>
      <c r="C1205" s="11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  <c r="AA1205" s="12"/>
      <c r="AB1205" s="12"/>
      <c r="AC1205" s="12"/>
      <c r="AD1205" s="12"/>
      <c r="AE1205" s="11"/>
    </row>
    <row r="1206" spans="2:31" ht="15">
      <c r="B1206" s="11"/>
      <c r="C1206" s="11"/>
      <c r="P1206" s="12"/>
      <c r="Q1206" s="12"/>
      <c r="R1206" s="12"/>
      <c r="S1206" s="12"/>
      <c r="T1206" s="12"/>
      <c r="U1206" s="12"/>
      <c r="V1206" s="12"/>
      <c r="W1206" s="12"/>
      <c r="X1206" s="12"/>
      <c r="Y1206" s="12"/>
      <c r="Z1206" s="12"/>
      <c r="AA1206" s="12"/>
      <c r="AB1206" s="12"/>
      <c r="AC1206" s="12"/>
      <c r="AD1206" s="12"/>
      <c r="AE1206" s="11"/>
    </row>
    <row r="1207" spans="2:31" ht="15">
      <c r="B1207" s="11"/>
      <c r="C1207" s="11"/>
      <c r="P1207" s="12"/>
      <c r="Q1207" s="12"/>
      <c r="R1207" s="12"/>
      <c r="S1207" s="12"/>
      <c r="T1207" s="12"/>
      <c r="U1207" s="12"/>
      <c r="V1207" s="12"/>
      <c r="W1207" s="12"/>
      <c r="X1207" s="12"/>
      <c r="Y1207" s="12"/>
      <c r="Z1207" s="12"/>
      <c r="AA1207" s="12"/>
      <c r="AB1207" s="12"/>
      <c r="AC1207" s="12"/>
      <c r="AD1207" s="12"/>
      <c r="AE1207" s="11"/>
    </row>
    <row r="1208" spans="2:31" ht="15">
      <c r="B1208" s="11"/>
      <c r="C1208" s="11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  <c r="AA1208" s="12"/>
      <c r="AB1208" s="12"/>
      <c r="AC1208" s="12"/>
      <c r="AD1208" s="12"/>
      <c r="AE1208" s="11"/>
    </row>
    <row r="1209" spans="2:31" ht="15">
      <c r="B1209" s="11"/>
      <c r="C1209" s="11"/>
      <c r="P1209" s="12"/>
      <c r="Q1209" s="12"/>
      <c r="R1209" s="12"/>
      <c r="S1209" s="12"/>
      <c r="T1209" s="12"/>
      <c r="U1209" s="12"/>
      <c r="V1209" s="12"/>
      <c r="W1209" s="12"/>
      <c r="X1209" s="12"/>
      <c r="Y1209" s="12"/>
      <c r="Z1209" s="12"/>
      <c r="AA1209" s="12"/>
      <c r="AB1209" s="12"/>
      <c r="AC1209" s="12"/>
      <c r="AD1209" s="12"/>
      <c r="AE1209" s="11"/>
    </row>
    <row r="1210" spans="2:31" ht="15">
      <c r="B1210" s="11"/>
      <c r="C1210" s="11"/>
      <c r="P1210" s="12"/>
      <c r="Q1210" s="12"/>
      <c r="R1210" s="12"/>
      <c r="S1210" s="12"/>
      <c r="T1210" s="12"/>
      <c r="U1210" s="12"/>
      <c r="V1210" s="12"/>
      <c r="W1210" s="12"/>
      <c r="X1210" s="12"/>
      <c r="Y1210" s="12"/>
      <c r="Z1210" s="12"/>
      <c r="AA1210" s="12"/>
      <c r="AB1210" s="12"/>
      <c r="AC1210" s="12"/>
      <c r="AD1210" s="12"/>
      <c r="AE1210" s="11"/>
    </row>
    <row r="1211" spans="2:31" ht="15">
      <c r="B1211" s="11"/>
      <c r="C1211" s="11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  <c r="AA1211" s="12"/>
      <c r="AB1211" s="12"/>
      <c r="AC1211" s="12"/>
      <c r="AD1211" s="12"/>
      <c r="AE1211" s="11"/>
    </row>
    <row r="1212" spans="2:31" ht="15">
      <c r="B1212" s="11"/>
      <c r="C1212" s="11"/>
      <c r="P1212" s="12"/>
      <c r="Q1212" s="12"/>
      <c r="R1212" s="12"/>
      <c r="S1212" s="12"/>
      <c r="T1212" s="12"/>
      <c r="U1212" s="12"/>
      <c r="V1212" s="12"/>
      <c r="W1212" s="12"/>
      <c r="X1212" s="12"/>
      <c r="Y1212" s="12"/>
      <c r="Z1212" s="12"/>
      <c r="AA1212" s="12"/>
      <c r="AB1212" s="12"/>
      <c r="AC1212" s="12"/>
      <c r="AD1212" s="12"/>
      <c r="AE1212" s="11"/>
    </row>
    <row r="1213" spans="2:31" ht="15">
      <c r="B1213" s="11"/>
      <c r="C1213" s="11"/>
      <c r="P1213" s="12"/>
      <c r="Q1213" s="12"/>
      <c r="R1213" s="12"/>
      <c r="S1213" s="12"/>
      <c r="T1213" s="12"/>
      <c r="U1213" s="12"/>
      <c r="V1213" s="12"/>
      <c r="W1213" s="12"/>
      <c r="X1213" s="12"/>
      <c r="Y1213" s="12"/>
      <c r="Z1213" s="12"/>
      <c r="AA1213" s="12"/>
      <c r="AB1213" s="12"/>
      <c r="AC1213" s="12"/>
      <c r="AD1213" s="12"/>
      <c r="AE1213" s="11"/>
    </row>
    <row r="1214" spans="2:31" ht="15">
      <c r="B1214" s="11"/>
      <c r="C1214" s="11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  <c r="AA1214" s="12"/>
      <c r="AB1214" s="12"/>
      <c r="AC1214" s="12"/>
      <c r="AD1214" s="12"/>
      <c r="AE1214" s="11"/>
    </row>
    <row r="1215" spans="2:31" ht="15">
      <c r="B1215" s="11"/>
      <c r="C1215" s="11"/>
      <c r="P1215" s="12"/>
      <c r="Q1215" s="12"/>
      <c r="R1215" s="12"/>
      <c r="S1215" s="12"/>
      <c r="T1215" s="12"/>
      <c r="U1215" s="12"/>
      <c r="V1215" s="12"/>
      <c r="W1215" s="12"/>
      <c r="X1215" s="12"/>
      <c r="Y1215" s="12"/>
      <c r="Z1215" s="12"/>
      <c r="AA1215" s="12"/>
      <c r="AB1215" s="12"/>
      <c r="AC1215" s="12"/>
      <c r="AD1215" s="12"/>
      <c r="AE1215" s="11"/>
    </row>
    <row r="1216" spans="2:31" ht="15">
      <c r="B1216" s="11"/>
      <c r="C1216" s="11"/>
      <c r="P1216" s="12"/>
      <c r="Q1216" s="12"/>
      <c r="R1216" s="12"/>
      <c r="S1216" s="12"/>
      <c r="T1216" s="12"/>
      <c r="U1216" s="12"/>
      <c r="V1216" s="12"/>
      <c r="W1216" s="12"/>
      <c r="X1216" s="12"/>
      <c r="Y1216" s="12"/>
      <c r="Z1216" s="12"/>
      <c r="AA1216" s="12"/>
      <c r="AB1216" s="12"/>
      <c r="AC1216" s="12"/>
      <c r="AD1216" s="12"/>
      <c r="AE1216" s="11"/>
    </row>
    <row r="1217" spans="2:31" ht="15">
      <c r="B1217" s="11"/>
      <c r="C1217" s="11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  <c r="AA1217" s="12"/>
      <c r="AB1217" s="12"/>
      <c r="AC1217" s="12"/>
      <c r="AD1217" s="12"/>
      <c r="AE1217" s="11"/>
    </row>
    <row r="1218" spans="2:31" ht="15">
      <c r="B1218" s="11"/>
      <c r="C1218" s="11"/>
      <c r="P1218" s="12"/>
      <c r="Q1218" s="12"/>
      <c r="R1218" s="12"/>
      <c r="S1218" s="12"/>
      <c r="T1218" s="12"/>
      <c r="U1218" s="12"/>
      <c r="V1218" s="12"/>
      <c r="W1218" s="12"/>
      <c r="X1218" s="12"/>
      <c r="Y1218" s="12"/>
      <c r="Z1218" s="12"/>
      <c r="AA1218" s="12"/>
      <c r="AB1218" s="12"/>
      <c r="AC1218" s="12"/>
      <c r="AD1218" s="12"/>
      <c r="AE1218" s="11"/>
    </row>
    <row r="1219" spans="2:31" ht="15">
      <c r="B1219" s="11"/>
      <c r="C1219" s="11"/>
      <c r="P1219" s="12"/>
      <c r="Q1219" s="12"/>
      <c r="R1219" s="12"/>
      <c r="S1219" s="12"/>
      <c r="T1219" s="12"/>
      <c r="U1219" s="12"/>
      <c r="V1219" s="12"/>
      <c r="W1219" s="12"/>
      <c r="X1219" s="12"/>
      <c r="Y1219" s="12"/>
      <c r="Z1219" s="12"/>
      <c r="AA1219" s="12"/>
      <c r="AB1219" s="12"/>
      <c r="AC1219" s="12"/>
      <c r="AD1219" s="12"/>
      <c r="AE1219" s="11"/>
    </row>
    <row r="1220" spans="2:31" ht="15">
      <c r="B1220" s="11"/>
      <c r="C1220" s="11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  <c r="AA1220" s="12"/>
      <c r="AB1220" s="12"/>
      <c r="AC1220" s="12"/>
      <c r="AD1220" s="12"/>
      <c r="AE1220" s="11"/>
    </row>
    <row r="1221" spans="2:31" ht="15">
      <c r="B1221" s="11"/>
      <c r="C1221" s="11"/>
      <c r="P1221" s="12"/>
      <c r="Q1221" s="12"/>
      <c r="R1221" s="12"/>
      <c r="S1221" s="12"/>
      <c r="T1221" s="12"/>
      <c r="U1221" s="12"/>
      <c r="V1221" s="12"/>
      <c r="W1221" s="12"/>
      <c r="X1221" s="12"/>
      <c r="Y1221" s="12"/>
      <c r="Z1221" s="12"/>
      <c r="AA1221" s="12"/>
      <c r="AB1221" s="12"/>
      <c r="AC1221" s="12"/>
      <c r="AD1221" s="12"/>
      <c r="AE1221" s="11"/>
    </row>
    <row r="1222" spans="2:31" ht="15">
      <c r="B1222" s="11"/>
      <c r="C1222" s="11"/>
      <c r="P1222" s="12"/>
      <c r="Q1222" s="12"/>
      <c r="R1222" s="12"/>
      <c r="S1222" s="12"/>
      <c r="T1222" s="12"/>
      <c r="U1222" s="12"/>
      <c r="V1222" s="12"/>
      <c r="W1222" s="12"/>
      <c r="X1222" s="12"/>
      <c r="Y1222" s="12"/>
      <c r="Z1222" s="12"/>
      <c r="AA1222" s="12"/>
      <c r="AB1222" s="12"/>
      <c r="AC1222" s="12"/>
      <c r="AD1222" s="12"/>
      <c r="AE1222" s="11"/>
    </row>
    <row r="1223" spans="2:31" ht="15">
      <c r="B1223" s="11"/>
      <c r="C1223" s="11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  <c r="AA1223" s="12"/>
      <c r="AB1223" s="12"/>
      <c r="AC1223" s="12"/>
      <c r="AD1223" s="12"/>
      <c r="AE1223" s="11"/>
    </row>
    <row r="1224" spans="2:31" ht="15">
      <c r="B1224" s="11"/>
      <c r="C1224" s="11"/>
      <c r="P1224" s="12"/>
      <c r="Q1224" s="12"/>
      <c r="R1224" s="12"/>
      <c r="S1224" s="12"/>
      <c r="T1224" s="12"/>
      <c r="U1224" s="12"/>
      <c r="V1224" s="12"/>
      <c r="W1224" s="12"/>
      <c r="X1224" s="12"/>
      <c r="Y1224" s="12"/>
      <c r="Z1224" s="12"/>
      <c r="AA1224" s="12"/>
      <c r="AB1224" s="12"/>
      <c r="AC1224" s="12"/>
      <c r="AD1224" s="12"/>
      <c r="AE1224" s="11"/>
    </row>
    <row r="1225" spans="2:31" ht="15">
      <c r="B1225" s="11"/>
      <c r="C1225" s="11"/>
      <c r="P1225" s="12"/>
      <c r="Q1225" s="12"/>
      <c r="R1225" s="12"/>
      <c r="S1225" s="12"/>
      <c r="T1225" s="12"/>
      <c r="U1225" s="12"/>
      <c r="V1225" s="12"/>
      <c r="W1225" s="12"/>
      <c r="X1225" s="12"/>
      <c r="Y1225" s="12"/>
      <c r="Z1225" s="12"/>
      <c r="AA1225" s="12"/>
      <c r="AB1225" s="12"/>
      <c r="AC1225" s="12"/>
      <c r="AD1225" s="12"/>
      <c r="AE1225" s="11"/>
    </row>
    <row r="1226" spans="2:31" ht="15">
      <c r="B1226" s="11"/>
      <c r="C1226" s="11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  <c r="AA1226" s="12"/>
      <c r="AB1226" s="12"/>
      <c r="AC1226" s="12"/>
      <c r="AD1226" s="12"/>
      <c r="AE1226" s="11"/>
    </row>
    <row r="1227" spans="2:31" ht="15">
      <c r="B1227" s="11"/>
      <c r="C1227" s="11"/>
      <c r="P1227" s="12"/>
      <c r="Q1227" s="12"/>
      <c r="R1227" s="12"/>
      <c r="S1227" s="12"/>
      <c r="T1227" s="12"/>
      <c r="U1227" s="12"/>
      <c r="V1227" s="12"/>
      <c r="W1227" s="12"/>
      <c r="X1227" s="12"/>
      <c r="Y1227" s="12"/>
      <c r="Z1227" s="12"/>
      <c r="AA1227" s="12"/>
      <c r="AB1227" s="12"/>
      <c r="AC1227" s="12"/>
      <c r="AD1227" s="12"/>
      <c r="AE1227" s="11"/>
    </row>
    <row r="1228" spans="2:31" ht="15">
      <c r="B1228" s="11"/>
      <c r="C1228" s="11"/>
      <c r="P1228" s="12"/>
      <c r="Q1228" s="12"/>
      <c r="R1228" s="12"/>
      <c r="S1228" s="12"/>
      <c r="T1228" s="12"/>
      <c r="U1228" s="12"/>
      <c r="V1228" s="12"/>
      <c r="W1228" s="12"/>
      <c r="X1228" s="12"/>
      <c r="Y1228" s="12"/>
      <c r="Z1228" s="12"/>
      <c r="AA1228" s="12"/>
      <c r="AB1228" s="12"/>
      <c r="AC1228" s="12"/>
      <c r="AD1228" s="12"/>
      <c r="AE1228" s="11"/>
    </row>
    <row r="1229" spans="2:31" ht="15">
      <c r="B1229" s="11"/>
      <c r="C1229" s="11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  <c r="AA1229" s="12"/>
      <c r="AB1229" s="12"/>
      <c r="AC1229" s="12"/>
      <c r="AD1229" s="12"/>
      <c r="AE1229" s="11"/>
    </row>
    <row r="1230" spans="2:31" ht="15">
      <c r="B1230" s="11"/>
      <c r="C1230" s="11"/>
      <c r="P1230" s="12"/>
      <c r="Q1230" s="12"/>
      <c r="R1230" s="12"/>
      <c r="S1230" s="12"/>
      <c r="T1230" s="12"/>
      <c r="U1230" s="12"/>
      <c r="V1230" s="12"/>
      <c r="W1230" s="12"/>
      <c r="X1230" s="12"/>
      <c r="Y1230" s="12"/>
      <c r="Z1230" s="12"/>
      <c r="AA1230" s="12"/>
      <c r="AB1230" s="12"/>
      <c r="AC1230" s="12"/>
      <c r="AD1230" s="12"/>
      <c r="AE1230" s="11"/>
    </row>
    <row r="1231" spans="2:31" ht="15">
      <c r="B1231" s="11"/>
      <c r="C1231" s="11"/>
      <c r="P1231" s="12"/>
      <c r="Q1231" s="12"/>
      <c r="R1231" s="12"/>
      <c r="S1231" s="12"/>
      <c r="T1231" s="12"/>
      <c r="U1231" s="12"/>
      <c r="V1231" s="12"/>
      <c r="W1231" s="12"/>
      <c r="X1231" s="12"/>
      <c r="Y1231" s="12"/>
      <c r="Z1231" s="12"/>
      <c r="AA1231" s="12"/>
      <c r="AB1231" s="12"/>
      <c r="AC1231" s="12"/>
      <c r="AD1231" s="12"/>
      <c r="AE1231" s="11"/>
    </row>
    <row r="1232" spans="2:31" ht="15">
      <c r="B1232" s="11"/>
      <c r="C1232" s="11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  <c r="AA1232" s="12"/>
      <c r="AB1232" s="12"/>
      <c r="AC1232" s="12"/>
      <c r="AD1232" s="12"/>
      <c r="AE1232" s="11"/>
    </row>
    <row r="1233" spans="2:31" ht="15">
      <c r="B1233" s="11"/>
      <c r="C1233" s="11"/>
      <c r="P1233" s="12"/>
      <c r="Q1233" s="12"/>
      <c r="R1233" s="12"/>
      <c r="S1233" s="12"/>
      <c r="T1233" s="12"/>
      <c r="U1233" s="12"/>
      <c r="V1233" s="12"/>
      <c r="W1233" s="12"/>
      <c r="X1233" s="12"/>
      <c r="Y1233" s="12"/>
      <c r="Z1233" s="12"/>
      <c r="AA1233" s="12"/>
      <c r="AB1233" s="12"/>
      <c r="AC1233" s="12"/>
      <c r="AD1233" s="12"/>
      <c r="AE1233" s="11"/>
    </row>
    <row r="1234" spans="2:31" ht="15">
      <c r="B1234" s="11"/>
      <c r="C1234" s="11"/>
      <c r="P1234" s="12"/>
      <c r="Q1234" s="12"/>
      <c r="R1234" s="12"/>
      <c r="S1234" s="12"/>
      <c r="T1234" s="12"/>
      <c r="U1234" s="12"/>
      <c r="V1234" s="12"/>
      <c r="W1234" s="12"/>
      <c r="X1234" s="12"/>
      <c r="Y1234" s="12"/>
      <c r="Z1234" s="12"/>
      <c r="AA1234" s="12"/>
      <c r="AB1234" s="12"/>
      <c r="AC1234" s="12"/>
      <c r="AD1234" s="12"/>
      <c r="AE1234" s="11"/>
    </row>
    <row r="1235" spans="2:31" ht="15">
      <c r="B1235" s="11"/>
      <c r="C1235" s="11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  <c r="AA1235" s="12"/>
      <c r="AB1235" s="12"/>
      <c r="AC1235" s="12"/>
      <c r="AD1235" s="12"/>
      <c r="AE1235" s="11"/>
    </row>
    <row r="1236" spans="2:31" ht="15">
      <c r="B1236" s="11"/>
      <c r="C1236" s="11"/>
      <c r="P1236" s="12"/>
      <c r="Q1236" s="12"/>
      <c r="R1236" s="12"/>
      <c r="S1236" s="12"/>
      <c r="T1236" s="12"/>
      <c r="U1236" s="12"/>
      <c r="V1236" s="12"/>
      <c r="W1236" s="12"/>
      <c r="X1236" s="12"/>
      <c r="Y1236" s="12"/>
      <c r="Z1236" s="12"/>
      <c r="AA1236" s="12"/>
      <c r="AB1236" s="12"/>
      <c r="AC1236" s="12"/>
      <c r="AD1236" s="12"/>
      <c r="AE1236" s="11"/>
    </row>
    <row r="1237" spans="2:31" ht="15">
      <c r="B1237" s="11"/>
      <c r="C1237" s="11"/>
      <c r="P1237" s="12"/>
      <c r="Q1237" s="12"/>
      <c r="R1237" s="12"/>
      <c r="S1237" s="12"/>
      <c r="T1237" s="12"/>
      <c r="U1237" s="12"/>
      <c r="V1237" s="12"/>
      <c r="W1237" s="12"/>
      <c r="X1237" s="12"/>
      <c r="Y1237" s="12"/>
      <c r="Z1237" s="12"/>
      <c r="AA1237" s="12"/>
      <c r="AB1237" s="12"/>
      <c r="AC1237" s="12"/>
      <c r="AD1237" s="12"/>
      <c r="AE1237" s="11"/>
    </row>
    <row r="1238" spans="2:31" ht="15">
      <c r="B1238" s="11"/>
      <c r="C1238" s="11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  <c r="AA1238" s="12"/>
      <c r="AB1238" s="12"/>
      <c r="AC1238" s="12"/>
      <c r="AD1238" s="12"/>
      <c r="AE1238" s="11"/>
    </row>
    <row r="1239" spans="2:31" ht="15">
      <c r="B1239" s="11"/>
      <c r="C1239" s="11"/>
      <c r="P1239" s="12"/>
      <c r="Q1239" s="12"/>
      <c r="R1239" s="12"/>
      <c r="S1239" s="12"/>
      <c r="T1239" s="12"/>
      <c r="U1239" s="12"/>
      <c r="V1239" s="12"/>
      <c r="W1239" s="12"/>
      <c r="X1239" s="12"/>
      <c r="Y1239" s="12"/>
      <c r="Z1239" s="12"/>
      <c r="AA1239" s="12"/>
      <c r="AB1239" s="12"/>
      <c r="AC1239" s="12"/>
      <c r="AD1239" s="12"/>
      <c r="AE1239" s="11"/>
    </row>
    <row r="1240" spans="2:31" ht="15">
      <c r="B1240" s="11"/>
      <c r="C1240" s="11"/>
      <c r="P1240" s="12"/>
      <c r="Q1240" s="12"/>
      <c r="R1240" s="12"/>
      <c r="S1240" s="12"/>
      <c r="T1240" s="12"/>
      <c r="U1240" s="12"/>
      <c r="V1240" s="12"/>
      <c r="W1240" s="12"/>
      <c r="X1240" s="12"/>
      <c r="Y1240" s="12"/>
      <c r="Z1240" s="12"/>
      <c r="AA1240" s="12"/>
      <c r="AB1240" s="12"/>
      <c r="AC1240" s="12"/>
      <c r="AD1240" s="12"/>
      <c r="AE1240" s="11"/>
    </row>
    <row r="1241" spans="2:31" ht="15">
      <c r="B1241" s="11"/>
      <c r="C1241" s="11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  <c r="AA1241" s="12"/>
      <c r="AB1241" s="12"/>
      <c r="AC1241" s="12"/>
      <c r="AD1241" s="12"/>
      <c r="AE1241" s="11"/>
    </row>
    <row r="1242" spans="2:31" ht="15">
      <c r="B1242" s="11"/>
      <c r="C1242" s="11"/>
      <c r="P1242" s="12"/>
      <c r="Q1242" s="12"/>
      <c r="R1242" s="12"/>
      <c r="S1242" s="12"/>
      <c r="T1242" s="12"/>
      <c r="U1242" s="12"/>
      <c r="V1242" s="12"/>
      <c r="W1242" s="12"/>
      <c r="X1242" s="12"/>
      <c r="Y1242" s="12"/>
      <c r="Z1242" s="12"/>
      <c r="AA1242" s="12"/>
      <c r="AB1242" s="12"/>
      <c r="AC1242" s="12"/>
      <c r="AD1242" s="12"/>
      <c r="AE1242" s="11"/>
    </row>
    <row r="1243" spans="2:31" ht="15">
      <c r="B1243" s="11"/>
      <c r="C1243" s="11"/>
      <c r="P1243" s="12"/>
      <c r="Q1243" s="12"/>
      <c r="R1243" s="12"/>
      <c r="S1243" s="12"/>
      <c r="T1243" s="12"/>
      <c r="U1243" s="12"/>
      <c r="V1243" s="12"/>
      <c r="W1243" s="12"/>
      <c r="X1243" s="12"/>
      <c r="Y1243" s="12"/>
      <c r="Z1243" s="12"/>
      <c r="AA1243" s="12"/>
      <c r="AB1243" s="12"/>
      <c r="AC1243" s="12"/>
      <c r="AD1243" s="12"/>
      <c r="AE1243" s="11"/>
    </row>
    <row r="1244" spans="2:31" ht="15">
      <c r="B1244" s="11"/>
      <c r="C1244" s="11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  <c r="AA1244" s="12"/>
      <c r="AB1244" s="12"/>
      <c r="AC1244" s="12"/>
      <c r="AD1244" s="12"/>
      <c r="AE1244" s="11"/>
    </row>
    <row r="1245" spans="2:31" ht="15">
      <c r="B1245" s="11"/>
      <c r="C1245" s="11"/>
      <c r="P1245" s="12"/>
      <c r="Q1245" s="12"/>
      <c r="R1245" s="12"/>
      <c r="S1245" s="12"/>
      <c r="T1245" s="12"/>
      <c r="U1245" s="12"/>
      <c r="V1245" s="12"/>
      <c r="W1245" s="12"/>
      <c r="X1245" s="12"/>
      <c r="Y1245" s="12"/>
      <c r="Z1245" s="12"/>
      <c r="AA1245" s="12"/>
      <c r="AB1245" s="12"/>
      <c r="AC1245" s="12"/>
      <c r="AD1245" s="12"/>
      <c r="AE1245" s="11"/>
    </row>
    <row r="1246" spans="2:31" ht="15">
      <c r="B1246" s="11"/>
      <c r="C1246" s="11"/>
      <c r="P1246" s="12"/>
      <c r="Q1246" s="12"/>
      <c r="R1246" s="12"/>
      <c r="S1246" s="12"/>
      <c r="T1246" s="12"/>
      <c r="U1246" s="12"/>
      <c r="V1246" s="12"/>
      <c r="W1246" s="12"/>
      <c r="X1246" s="12"/>
      <c r="Y1246" s="12"/>
      <c r="Z1246" s="12"/>
      <c r="AA1246" s="12"/>
      <c r="AB1246" s="12"/>
      <c r="AC1246" s="12"/>
      <c r="AD1246" s="12"/>
      <c r="AE1246" s="11"/>
    </row>
    <row r="1247" spans="2:31" ht="15">
      <c r="B1247" s="11"/>
      <c r="C1247" s="11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  <c r="AA1247" s="12"/>
      <c r="AB1247" s="12"/>
      <c r="AC1247" s="12"/>
      <c r="AD1247" s="12"/>
      <c r="AE1247" s="11"/>
    </row>
    <row r="1248" spans="2:31" ht="15">
      <c r="B1248" s="11"/>
      <c r="C1248" s="11"/>
      <c r="P1248" s="12"/>
      <c r="Q1248" s="12"/>
      <c r="R1248" s="12"/>
      <c r="S1248" s="12"/>
      <c r="T1248" s="12"/>
      <c r="U1248" s="12"/>
      <c r="V1248" s="12"/>
      <c r="W1248" s="12"/>
      <c r="X1248" s="12"/>
      <c r="Y1248" s="12"/>
      <c r="Z1248" s="12"/>
      <c r="AA1248" s="12"/>
      <c r="AB1248" s="12"/>
      <c r="AC1248" s="12"/>
      <c r="AD1248" s="12"/>
      <c r="AE1248" s="11"/>
    </row>
    <row r="1249" spans="2:31" ht="15">
      <c r="B1249" s="11"/>
      <c r="C1249" s="11"/>
      <c r="P1249" s="12"/>
      <c r="Q1249" s="12"/>
      <c r="R1249" s="12"/>
      <c r="S1249" s="12"/>
      <c r="T1249" s="12"/>
      <c r="U1249" s="12"/>
      <c r="V1249" s="12"/>
      <c r="W1249" s="12"/>
      <c r="X1249" s="12"/>
      <c r="Y1249" s="12"/>
      <c r="Z1249" s="12"/>
      <c r="AA1249" s="12"/>
      <c r="AB1249" s="12"/>
      <c r="AC1249" s="12"/>
      <c r="AD1249" s="12"/>
      <c r="AE1249" s="11"/>
    </row>
    <row r="1250" spans="2:31" ht="15">
      <c r="B1250" s="11"/>
      <c r="C1250" s="11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  <c r="AA1250" s="12"/>
      <c r="AB1250" s="12"/>
      <c r="AC1250" s="12"/>
      <c r="AD1250" s="12"/>
      <c r="AE1250" s="11"/>
    </row>
    <row r="1251" spans="2:31" ht="15">
      <c r="B1251" s="11"/>
      <c r="C1251" s="11"/>
      <c r="P1251" s="12"/>
      <c r="Q1251" s="12"/>
      <c r="R1251" s="12"/>
      <c r="S1251" s="12"/>
      <c r="T1251" s="12"/>
      <c r="U1251" s="12"/>
      <c r="V1251" s="12"/>
      <c r="W1251" s="12"/>
      <c r="X1251" s="12"/>
      <c r="Y1251" s="12"/>
      <c r="Z1251" s="12"/>
      <c r="AA1251" s="12"/>
      <c r="AB1251" s="12"/>
      <c r="AC1251" s="12"/>
      <c r="AD1251" s="12"/>
      <c r="AE1251" s="11"/>
    </row>
    <row r="1252" spans="2:31" ht="15">
      <c r="B1252" s="11"/>
      <c r="C1252" s="11"/>
      <c r="P1252" s="12"/>
      <c r="Q1252" s="12"/>
      <c r="R1252" s="12"/>
      <c r="S1252" s="12"/>
      <c r="T1252" s="12"/>
      <c r="U1252" s="12"/>
      <c r="V1252" s="12"/>
      <c r="W1252" s="12"/>
      <c r="X1252" s="12"/>
      <c r="Y1252" s="12"/>
      <c r="Z1252" s="12"/>
      <c r="AA1252" s="12"/>
      <c r="AB1252" s="12"/>
      <c r="AC1252" s="12"/>
      <c r="AD1252" s="12"/>
      <c r="AE1252" s="11"/>
    </row>
    <row r="1253" spans="2:31" ht="15">
      <c r="B1253" s="11"/>
      <c r="C1253" s="11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  <c r="AA1253" s="12"/>
      <c r="AB1253" s="12"/>
      <c r="AC1253" s="12"/>
      <c r="AD1253" s="12"/>
      <c r="AE1253" s="11"/>
    </row>
    <row r="1254" spans="2:31" ht="15">
      <c r="B1254" s="11"/>
      <c r="C1254" s="11"/>
      <c r="P1254" s="12"/>
      <c r="Q1254" s="12"/>
      <c r="R1254" s="12"/>
      <c r="S1254" s="12"/>
      <c r="T1254" s="12"/>
      <c r="U1254" s="12"/>
      <c r="V1254" s="12"/>
      <c r="W1254" s="12"/>
      <c r="X1254" s="12"/>
      <c r="Y1254" s="12"/>
      <c r="Z1254" s="12"/>
      <c r="AA1254" s="12"/>
      <c r="AB1254" s="12"/>
      <c r="AC1254" s="12"/>
      <c r="AD1254" s="12"/>
      <c r="AE1254" s="11"/>
    </row>
    <row r="1255" spans="2:31" ht="15">
      <c r="B1255" s="11"/>
      <c r="C1255" s="11"/>
      <c r="P1255" s="12"/>
      <c r="Q1255" s="12"/>
      <c r="R1255" s="12"/>
      <c r="S1255" s="12"/>
      <c r="T1255" s="12"/>
      <c r="U1255" s="12"/>
      <c r="V1255" s="12"/>
      <c r="W1255" s="12"/>
      <c r="X1255" s="12"/>
      <c r="Y1255" s="12"/>
      <c r="Z1255" s="12"/>
      <c r="AA1255" s="12"/>
      <c r="AB1255" s="12"/>
      <c r="AC1255" s="12"/>
      <c r="AD1255" s="12"/>
      <c r="AE1255" s="11"/>
    </row>
    <row r="1256" spans="2:31" ht="15">
      <c r="B1256" s="11"/>
      <c r="C1256" s="11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  <c r="AA1256" s="12"/>
      <c r="AB1256" s="12"/>
      <c r="AC1256" s="12"/>
      <c r="AD1256" s="12"/>
      <c r="AE1256" s="11"/>
    </row>
    <row r="1257" spans="2:31" ht="15">
      <c r="B1257" s="11"/>
      <c r="C1257" s="11"/>
      <c r="P1257" s="12"/>
      <c r="Q1257" s="12"/>
      <c r="R1257" s="12"/>
      <c r="S1257" s="12"/>
      <c r="T1257" s="12"/>
      <c r="U1257" s="12"/>
      <c r="V1257" s="12"/>
      <c r="W1257" s="12"/>
      <c r="X1257" s="12"/>
      <c r="Y1257" s="12"/>
      <c r="Z1257" s="12"/>
      <c r="AA1257" s="12"/>
      <c r="AB1257" s="12"/>
      <c r="AC1257" s="12"/>
      <c r="AD1257" s="12"/>
      <c r="AE1257" s="11"/>
    </row>
    <row r="1258" spans="2:31" ht="15">
      <c r="B1258" s="11"/>
      <c r="C1258" s="11"/>
      <c r="P1258" s="12"/>
      <c r="Q1258" s="12"/>
      <c r="R1258" s="12"/>
      <c r="S1258" s="12"/>
      <c r="T1258" s="12"/>
      <c r="U1258" s="12"/>
      <c r="V1258" s="12"/>
      <c r="W1258" s="12"/>
      <c r="X1258" s="12"/>
      <c r="Y1258" s="12"/>
      <c r="Z1258" s="12"/>
      <c r="AA1258" s="12"/>
      <c r="AB1258" s="12"/>
      <c r="AC1258" s="12"/>
      <c r="AD1258" s="12"/>
      <c r="AE1258" s="11"/>
    </row>
    <row r="1259" spans="2:31" ht="15">
      <c r="B1259" s="11"/>
      <c r="C1259" s="11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  <c r="AA1259" s="12"/>
      <c r="AB1259" s="12"/>
      <c r="AC1259" s="12"/>
      <c r="AD1259" s="12"/>
      <c r="AE1259" s="11"/>
    </row>
    <row r="1260" spans="2:31" ht="15">
      <c r="B1260" s="11"/>
      <c r="C1260" s="11"/>
      <c r="P1260" s="12"/>
      <c r="Q1260" s="12"/>
      <c r="R1260" s="12"/>
      <c r="S1260" s="12"/>
      <c r="T1260" s="12"/>
      <c r="U1260" s="12"/>
      <c r="V1260" s="12"/>
      <c r="W1260" s="12"/>
      <c r="X1260" s="12"/>
      <c r="Y1260" s="12"/>
      <c r="Z1260" s="12"/>
      <c r="AA1260" s="12"/>
      <c r="AB1260" s="12"/>
      <c r="AC1260" s="12"/>
      <c r="AD1260" s="12"/>
      <c r="AE1260" s="11"/>
    </row>
    <row r="1261" spans="2:31" ht="15">
      <c r="B1261" s="11"/>
      <c r="C1261" s="11"/>
      <c r="P1261" s="12"/>
      <c r="Q1261" s="12"/>
      <c r="R1261" s="12"/>
      <c r="S1261" s="12"/>
      <c r="T1261" s="12"/>
      <c r="U1261" s="12"/>
      <c r="V1261" s="12"/>
      <c r="W1261" s="12"/>
      <c r="X1261" s="12"/>
      <c r="Y1261" s="12"/>
      <c r="Z1261" s="12"/>
      <c r="AA1261" s="12"/>
      <c r="AB1261" s="12"/>
      <c r="AC1261" s="12"/>
      <c r="AD1261" s="12"/>
      <c r="AE1261" s="11"/>
    </row>
    <row r="1262" spans="2:31" ht="15">
      <c r="B1262" s="11"/>
      <c r="C1262" s="11"/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  <c r="AA1262" s="12"/>
      <c r="AB1262" s="12"/>
      <c r="AC1262" s="12"/>
      <c r="AD1262" s="12"/>
      <c r="AE1262" s="11"/>
    </row>
    <row r="1263" spans="2:31" ht="15">
      <c r="B1263" s="11"/>
      <c r="C1263" s="11"/>
      <c r="P1263" s="12"/>
      <c r="Q1263" s="12"/>
      <c r="R1263" s="12"/>
      <c r="S1263" s="12"/>
      <c r="T1263" s="12"/>
      <c r="U1263" s="12"/>
      <c r="V1263" s="12"/>
      <c r="W1263" s="12"/>
      <c r="X1263" s="12"/>
      <c r="Y1263" s="12"/>
      <c r="Z1263" s="12"/>
      <c r="AA1263" s="12"/>
      <c r="AB1263" s="12"/>
      <c r="AC1263" s="12"/>
      <c r="AD1263" s="12"/>
      <c r="AE1263" s="11"/>
    </row>
    <row r="1264" spans="2:31" ht="15">
      <c r="B1264" s="11"/>
      <c r="C1264" s="11"/>
      <c r="P1264" s="12"/>
      <c r="Q1264" s="12"/>
      <c r="R1264" s="12"/>
      <c r="S1264" s="12"/>
      <c r="T1264" s="12"/>
      <c r="U1264" s="12"/>
      <c r="V1264" s="12"/>
      <c r="W1264" s="12"/>
      <c r="X1264" s="12"/>
      <c r="Y1264" s="12"/>
      <c r="Z1264" s="12"/>
      <c r="AA1264" s="12"/>
      <c r="AB1264" s="12"/>
      <c r="AC1264" s="12"/>
      <c r="AD1264" s="12"/>
      <c r="AE1264" s="11"/>
    </row>
    <row r="1265" spans="2:31" ht="15">
      <c r="B1265" s="11"/>
      <c r="C1265" s="11"/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  <c r="AA1265" s="12"/>
      <c r="AB1265" s="12"/>
      <c r="AC1265" s="12"/>
      <c r="AD1265" s="12"/>
      <c r="AE1265" s="11"/>
    </row>
    <row r="1266" spans="2:31" ht="15">
      <c r="B1266" s="11"/>
      <c r="C1266" s="11"/>
      <c r="P1266" s="12"/>
      <c r="Q1266" s="12"/>
      <c r="R1266" s="12"/>
      <c r="S1266" s="12"/>
      <c r="T1266" s="12"/>
      <c r="U1266" s="12"/>
      <c r="V1266" s="12"/>
      <c r="W1266" s="12"/>
      <c r="X1266" s="12"/>
      <c r="Y1266" s="12"/>
      <c r="Z1266" s="12"/>
      <c r="AA1266" s="12"/>
      <c r="AB1266" s="12"/>
      <c r="AC1266" s="12"/>
      <c r="AD1266" s="12"/>
      <c r="AE1266" s="11"/>
    </row>
    <row r="1267" spans="2:31" ht="15">
      <c r="B1267" s="11"/>
      <c r="C1267" s="11"/>
      <c r="P1267" s="12"/>
      <c r="Q1267" s="12"/>
      <c r="R1267" s="12"/>
      <c r="S1267" s="12"/>
      <c r="T1267" s="12"/>
      <c r="U1267" s="12"/>
      <c r="V1267" s="12"/>
      <c r="W1267" s="12"/>
      <c r="X1267" s="12"/>
      <c r="Y1267" s="12"/>
      <c r="Z1267" s="12"/>
      <c r="AA1267" s="12"/>
      <c r="AB1267" s="12"/>
      <c r="AC1267" s="12"/>
      <c r="AD1267" s="12"/>
      <c r="AE1267" s="11"/>
    </row>
    <row r="1268" spans="2:31" ht="15">
      <c r="B1268" s="11"/>
      <c r="C1268" s="11"/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  <c r="AA1268" s="12"/>
      <c r="AB1268" s="12"/>
      <c r="AC1268" s="12"/>
      <c r="AD1268" s="12"/>
      <c r="AE1268" s="11"/>
    </row>
    <row r="1269" spans="2:31" ht="15">
      <c r="B1269" s="11"/>
      <c r="C1269" s="11"/>
      <c r="P1269" s="12"/>
      <c r="Q1269" s="12"/>
      <c r="R1269" s="12"/>
      <c r="S1269" s="12"/>
      <c r="T1269" s="12"/>
      <c r="U1269" s="12"/>
      <c r="V1269" s="12"/>
      <c r="W1269" s="12"/>
      <c r="X1269" s="12"/>
      <c r="Y1269" s="12"/>
      <c r="Z1269" s="12"/>
      <c r="AA1269" s="12"/>
      <c r="AB1269" s="12"/>
      <c r="AC1269" s="12"/>
      <c r="AD1269" s="12"/>
      <c r="AE1269" s="11"/>
    </row>
    <row r="1270" spans="2:31" ht="15">
      <c r="B1270" s="11"/>
      <c r="C1270" s="11"/>
      <c r="P1270" s="12"/>
      <c r="Q1270" s="12"/>
      <c r="R1270" s="12"/>
      <c r="S1270" s="12"/>
      <c r="T1270" s="12"/>
      <c r="U1270" s="12"/>
      <c r="V1270" s="12"/>
      <c r="W1270" s="12"/>
      <c r="X1270" s="12"/>
      <c r="Y1270" s="12"/>
      <c r="Z1270" s="12"/>
      <c r="AA1270" s="12"/>
      <c r="AB1270" s="12"/>
      <c r="AC1270" s="12"/>
      <c r="AD1270" s="12"/>
      <c r="AE1270" s="11"/>
    </row>
    <row r="1271" spans="2:31" ht="15">
      <c r="B1271" s="11"/>
      <c r="C1271" s="11"/>
      <c r="P1271" s="12"/>
      <c r="Q1271" s="12"/>
      <c r="R1271" s="12"/>
      <c r="S1271" s="12"/>
      <c r="T1271" s="12"/>
      <c r="U1271" s="12"/>
      <c r="V1271" s="12"/>
      <c r="W1271" s="12"/>
      <c r="X1271" s="12"/>
      <c r="Y1271" s="12"/>
      <c r="Z1271" s="12"/>
      <c r="AA1271" s="12"/>
      <c r="AB1271" s="12"/>
      <c r="AC1271" s="12"/>
      <c r="AD1271" s="12"/>
      <c r="AE1271" s="11"/>
    </row>
    <row r="1272" spans="2:31" ht="15">
      <c r="B1272" s="11"/>
      <c r="C1272" s="11"/>
      <c r="P1272" s="12"/>
      <c r="Q1272" s="12"/>
      <c r="R1272" s="12"/>
      <c r="S1272" s="12"/>
      <c r="T1272" s="12"/>
      <c r="U1272" s="12"/>
      <c r="V1272" s="12"/>
      <c r="W1272" s="12"/>
      <c r="X1272" s="12"/>
      <c r="Y1272" s="12"/>
      <c r="Z1272" s="12"/>
      <c r="AA1272" s="12"/>
      <c r="AB1272" s="12"/>
      <c r="AC1272" s="12"/>
      <c r="AD1272" s="12"/>
      <c r="AE1272" s="11"/>
    </row>
    <row r="1273" spans="2:31" ht="15">
      <c r="B1273" s="11"/>
      <c r="C1273" s="11"/>
      <c r="P1273" s="12"/>
      <c r="Q1273" s="12"/>
      <c r="R1273" s="12"/>
      <c r="S1273" s="12"/>
      <c r="T1273" s="12"/>
      <c r="U1273" s="12"/>
      <c r="V1273" s="12"/>
      <c r="W1273" s="12"/>
      <c r="X1273" s="12"/>
      <c r="Y1273" s="12"/>
      <c r="Z1273" s="12"/>
      <c r="AA1273" s="12"/>
      <c r="AB1273" s="12"/>
      <c r="AC1273" s="12"/>
      <c r="AD1273" s="12"/>
      <c r="AE1273" s="11"/>
    </row>
    <row r="1274" spans="2:31" ht="15">
      <c r="B1274" s="11"/>
      <c r="C1274" s="11"/>
      <c r="P1274" s="12"/>
      <c r="Q1274" s="12"/>
      <c r="R1274" s="12"/>
      <c r="S1274" s="12"/>
      <c r="T1274" s="12"/>
      <c r="U1274" s="12"/>
      <c r="V1274" s="12"/>
      <c r="W1274" s="12"/>
      <c r="X1274" s="12"/>
      <c r="Y1274" s="12"/>
      <c r="Z1274" s="12"/>
      <c r="AA1274" s="12"/>
      <c r="AB1274" s="12"/>
      <c r="AC1274" s="12"/>
      <c r="AD1274" s="12"/>
      <c r="AE1274" s="11"/>
    </row>
    <row r="1275" spans="2:31" ht="15">
      <c r="B1275" s="11"/>
      <c r="C1275" s="11"/>
      <c r="P1275" s="12"/>
      <c r="Q1275" s="12"/>
      <c r="R1275" s="12"/>
      <c r="S1275" s="12"/>
      <c r="T1275" s="12"/>
      <c r="U1275" s="12"/>
      <c r="V1275" s="12"/>
      <c r="W1275" s="12"/>
      <c r="X1275" s="12"/>
      <c r="Y1275" s="12"/>
      <c r="Z1275" s="12"/>
      <c r="AA1275" s="12"/>
      <c r="AB1275" s="12"/>
      <c r="AC1275" s="12"/>
      <c r="AD1275" s="12"/>
      <c r="AE1275" s="11"/>
    </row>
    <row r="1276" spans="2:31" ht="15">
      <c r="B1276" s="11"/>
      <c r="C1276" s="11"/>
      <c r="P1276" s="12"/>
      <c r="Q1276" s="12"/>
      <c r="R1276" s="12"/>
      <c r="S1276" s="12"/>
      <c r="T1276" s="12"/>
      <c r="U1276" s="12"/>
      <c r="V1276" s="12"/>
      <c r="W1276" s="12"/>
      <c r="X1276" s="12"/>
      <c r="Y1276" s="12"/>
      <c r="Z1276" s="12"/>
      <c r="AA1276" s="12"/>
      <c r="AB1276" s="12"/>
      <c r="AC1276" s="12"/>
      <c r="AD1276" s="12"/>
      <c r="AE1276" s="11"/>
    </row>
    <row r="1277" spans="2:31" ht="15">
      <c r="B1277" s="11"/>
      <c r="C1277" s="11"/>
      <c r="P1277" s="12"/>
      <c r="Q1277" s="12"/>
      <c r="R1277" s="12"/>
      <c r="S1277" s="12"/>
      <c r="T1277" s="12"/>
      <c r="U1277" s="12"/>
      <c r="V1277" s="12"/>
      <c r="W1277" s="12"/>
      <c r="X1277" s="12"/>
      <c r="Y1277" s="12"/>
      <c r="Z1277" s="12"/>
      <c r="AA1277" s="12"/>
      <c r="AB1277" s="12"/>
      <c r="AC1277" s="12"/>
      <c r="AD1277" s="12"/>
      <c r="AE1277" s="11"/>
    </row>
    <row r="1278" spans="2:31" ht="15">
      <c r="B1278" s="11"/>
      <c r="C1278" s="11"/>
      <c r="P1278" s="12"/>
      <c r="Q1278" s="12"/>
      <c r="R1278" s="12"/>
      <c r="S1278" s="12"/>
      <c r="T1278" s="12"/>
      <c r="U1278" s="12"/>
      <c r="V1278" s="12"/>
      <c r="W1278" s="12"/>
      <c r="X1278" s="12"/>
      <c r="Y1278" s="12"/>
      <c r="Z1278" s="12"/>
      <c r="AA1278" s="12"/>
      <c r="AB1278" s="12"/>
      <c r="AC1278" s="12"/>
      <c r="AD1278" s="12"/>
      <c r="AE1278" s="11"/>
    </row>
    <row r="1279" spans="2:31" ht="15">
      <c r="B1279" s="11"/>
      <c r="C1279" s="11"/>
      <c r="P1279" s="12"/>
      <c r="Q1279" s="12"/>
      <c r="R1279" s="12"/>
      <c r="S1279" s="12"/>
      <c r="T1279" s="12"/>
      <c r="U1279" s="12"/>
      <c r="V1279" s="12"/>
      <c r="W1279" s="12"/>
      <c r="X1279" s="12"/>
      <c r="Y1279" s="12"/>
      <c r="Z1279" s="12"/>
      <c r="AA1279" s="12"/>
      <c r="AB1279" s="12"/>
      <c r="AC1279" s="12"/>
      <c r="AD1279" s="12"/>
      <c r="AE1279" s="11"/>
    </row>
    <row r="1280" spans="2:31" ht="15">
      <c r="B1280" s="11"/>
      <c r="C1280" s="11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  <c r="AA1280" s="12"/>
      <c r="AB1280" s="12"/>
      <c r="AC1280" s="12"/>
      <c r="AD1280" s="12"/>
      <c r="AE1280" s="11"/>
    </row>
    <row r="1281" spans="2:31" ht="15">
      <c r="B1281" s="11"/>
      <c r="C1281" s="11"/>
      <c r="P1281" s="12"/>
      <c r="Q1281" s="12"/>
      <c r="R1281" s="12"/>
      <c r="S1281" s="12"/>
      <c r="T1281" s="12"/>
      <c r="U1281" s="12"/>
      <c r="V1281" s="12"/>
      <c r="W1281" s="12"/>
      <c r="X1281" s="12"/>
      <c r="Y1281" s="12"/>
      <c r="Z1281" s="12"/>
      <c r="AA1281" s="12"/>
      <c r="AB1281" s="12"/>
      <c r="AC1281" s="12"/>
      <c r="AD1281" s="12"/>
      <c r="AE1281" s="11"/>
    </row>
    <row r="1282" spans="2:31" ht="15">
      <c r="B1282" s="11"/>
      <c r="C1282" s="11"/>
      <c r="P1282" s="12"/>
      <c r="Q1282" s="12"/>
      <c r="R1282" s="12"/>
      <c r="S1282" s="12"/>
      <c r="T1282" s="12"/>
      <c r="U1282" s="12"/>
      <c r="V1282" s="12"/>
      <c r="W1282" s="12"/>
      <c r="X1282" s="12"/>
      <c r="Y1282" s="12"/>
      <c r="Z1282" s="12"/>
      <c r="AA1282" s="12"/>
      <c r="AB1282" s="12"/>
      <c r="AC1282" s="12"/>
      <c r="AD1282" s="12"/>
      <c r="AE1282" s="11"/>
    </row>
    <row r="1283" spans="2:31" ht="15">
      <c r="B1283" s="11"/>
      <c r="C1283" s="11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  <c r="AA1283" s="12"/>
      <c r="AB1283" s="12"/>
      <c r="AC1283" s="12"/>
      <c r="AD1283" s="12"/>
      <c r="AE1283" s="11"/>
    </row>
    <row r="1284" spans="2:31" ht="15">
      <c r="B1284" s="11"/>
      <c r="C1284" s="11"/>
      <c r="P1284" s="12"/>
      <c r="Q1284" s="12"/>
      <c r="R1284" s="12"/>
      <c r="S1284" s="12"/>
      <c r="T1284" s="12"/>
      <c r="U1284" s="12"/>
      <c r="V1284" s="12"/>
      <c r="W1284" s="12"/>
      <c r="X1284" s="12"/>
      <c r="Y1284" s="12"/>
      <c r="Z1284" s="12"/>
      <c r="AA1284" s="12"/>
      <c r="AB1284" s="12"/>
      <c r="AC1284" s="12"/>
      <c r="AD1284" s="12"/>
      <c r="AE1284" s="11"/>
    </row>
    <row r="1285" spans="2:31" ht="15">
      <c r="B1285" s="11"/>
      <c r="C1285" s="11"/>
      <c r="P1285" s="12"/>
      <c r="Q1285" s="12"/>
      <c r="R1285" s="12"/>
      <c r="S1285" s="12"/>
      <c r="T1285" s="12"/>
      <c r="U1285" s="12"/>
      <c r="V1285" s="12"/>
      <c r="W1285" s="12"/>
      <c r="X1285" s="12"/>
      <c r="Y1285" s="12"/>
      <c r="Z1285" s="12"/>
      <c r="AA1285" s="12"/>
      <c r="AB1285" s="12"/>
      <c r="AC1285" s="12"/>
      <c r="AD1285" s="12"/>
      <c r="AE1285" s="11"/>
    </row>
    <row r="1286" spans="2:31" ht="15">
      <c r="B1286" s="11"/>
      <c r="C1286" s="11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  <c r="AA1286" s="12"/>
      <c r="AB1286" s="12"/>
      <c r="AC1286" s="12"/>
      <c r="AD1286" s="12"/>
      <c r="AE1286" s="11"/>
    </row>
    <row r="1287" spans="2:31" ht="15">
      <c r="B1287" s="11"/>
      <c r="C1287" s="11"/>
      <c r="P1287" s="12"/>
      <c r="Q1287" s="12"/>
      <c r="R1287" s="12"/>
      <c r="S1287" s="12"/>
      <c r="T1287" s="12"/>
      <c r="U1287" s="12"/>
      <c r="V1287" s="12"/>
      <c r="W1287" s="12"/>
      <c r="X1287" s="12"/>
      <c r="Y1287" s="12"/>
      <c r="Z1287" s="12"/>
      <c r="AA1287" s="12"/>
      <c r="AB1287" s="12"/>
      <c r="AC1287" s="12"/>
      <c r="AD1287" s="12"/>
      <c r="AE1287" s="11"/>
    </row>
    <row r="1288" spans="2:31" ht="15">
      <c r="B1288" s="11"/>
      <c r="C1288" s="11"/>
      <c r="P1288" s="12"/>
      <c r="Q1288" s="12"/>
      <c r="R1288" s="12"/>
      <c r="S1288" s="12"/>
      <c r="T1288" s="12"/>
      <c r="U1288" s="12"/>
      <c r="V1288" s="12"/>
      <c r="W1288" s="12"/>
      <c r="X1288" s="12"/>
      <c r="Y1288" s="12"/>
      <c r="Z1288" s="12"/>
      <c r="AA1288" s="12"/>
      <c r="AB1288" s="12"/>
      <c r="AC1288" s="12"/>
      <c r="AD1288" s="12"/>
      <c r="AE1288" s="11"/>
    </row>
    <row r="1289" spans="2:31" ht="15">
      <c r="B1289" s="11"/>
      <c r="C1289" s="11"/>
      <c r="P1289" s="12"/>
      <c r="Q1289" s="12"/>
      <c r="R1289" s="12"/>
      <c r="S1289" s="12"/>
      <c r="T1289" s="12"/>
      <c r="U1289" s="12"/>
      <c r="V1289" s="12"/>
      <c r="W1289" s="12"/>
      <c r="X1289" s="12"/>
      <c r="Y1289" s="12"/>
      <c r="Z1289" s="12"/>
      <c r="AA1289" s="12"/>
      <c r="AB1289" s="12"/>
      <c r="AC1289" s="12"/>
      <c r="AD1289" s="12"/>
      <c r="AE1289" s="11"/>
    </row>
    <row r="1290" spans="2:31" ht="15">
      <c r="B1290" s="11"/>
      <c r="C1290" s="11"/>
      <c r="P1290" s="12"/>
      <c r="Q1290" s="12"/>
      <c r="R1290" s="12"/>
      <c r="S1290" s="12"/>
      <c r="T1290" s="12"/>
      <c r="U1290" s="12"/>
      <c r="V1290" s="12"/>
      <c r="W1290" s="12"/>
      <c r="X1290" s="12"/>
      <c r="Y1290" s="12"/>
      <c r="Z1290" s="12"/>
      <c r="AA1290" s="12"/>
      <c r="AB1290" s="12"/>
      <c r="AC1290" s="12"/>
      <c r="AD1290" s="12"/>
      <c r="AE1290" s="11"/>
    </row>
    <row r="1291" spans="2:31" ht="15">
      <c r="B1291" s="11"/>
      <c r="C1291" s="11"/>
      <c r="P1291" s="12"/>
      <c r="Q1291" s="12"/>
      <c r="R1291" s="12"/>
      <c r="S1291" s="12"/>
      <c r="T1291" s="12"/>
      <c r="U1291" s="12"/>
      <c r="V1291" s="12"/>
      <c r="W1291" s="12"/>
      <c r="X1291" s="12"/>
      <c r="Y1291" s="12"/>
      <c r="Z1291" s="12"/>
      <c r="AA1291" s="12"/>
      <c r="AB1291" s="12"/>
      <c r="AC1291" s="12"/>
      <c r="AD1291" s="12"/>
      <c r="AE1291" s="11"/>
    </row>
    <row r="1292" spans="2:31" ht="15">
      <c r="B1292" s="11"/>
      <c r="C1292" s="11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  <c r="AA1292" s="12"/>
      <c r="AB1292" s="12"/>
      <c r="AC1292" s="12"/>
      <c r="AD1292" s="12"/>
      <c r="AE1292" s="11"/>
    </row>
    <row r="1293" spans="2:31" ht="15">
      <c r="B1293" s="11"/>
      <c r="C1293" s="11"/>
      <c r="P1293" s="12"/>
      <c r="Q1293" s="12"/>
      <c r="R1293" s="12"/>
      <c r="S1293" s="12"/>
      <c r="T1293" s="12"/>
      <c r="U1293" s="12"/>
      <c r="V1293" s="12"/>
      <c r="W1293" s="12"/>
      <c r="X1293" s="12"/>
      <c r="Y1293" s="12"/>
      <c r="Z1293" s="12"/>
      <c r="AA1293" s="12"/>
      <c r="AB1293" s="12"/>
      <c r="AC1293" s="12"/>
      <c r="AD1293" s="12"/>
      <c r="AE1293" s="11"/>
    </row>
    <row r="1294" spans="2:31" ht="15">
      <c r="B1294" s="11"/>
      <c r="C1294" s="11"/>
      <c r="P1294" s="12"/>
      <c r="Q1294" s="12"/>
      <c r="R1294" s="12"/>
      <c r="S1294" s="12"/>
      <c r="T1294" s="12"/>
      <c r="U1294" s="12"/>
      <c r="V1294" s="12"/>
      <c r="W1294" s="12"/>
      <c r="X1294" s="12"/>
      <c r="Y1294" s="12"/>
      <c r="Z1294" s="12"/>
      <c r="AA1294" s="12"/>
      <c r="AB1294" s="12"/>
      <c r="AC1294" s="12"/>
      <c r="AD1294" s="12"/>
      <c r="AE1294" s="11"/>
    </row>
    <row r="1295" spans="2:31" ht="15">
      <c r="B1295" s="11"/>
      <c r="C1295" s="11"/>
      <c r="P1295" s="12"/>
      <c r="Q1295" s="12"/>
      <c r="R1295" s="12"/>
      <c r="S1295" s="12"/>
      <c r="T1295" s="12"/>
      <c r="U1295" s="12"/>
      <c r="V1295" s="12"/>
      <c r="W1295" s="12"/>
      <c r="X1295" s="12"/>
      <c r="Y1295" s="12"/>
      <c r="Z1295" s="12"/>
      <c r="AA1295" s="12"/>
      <c r="AB1295" s="12"/>
      <c r="AC1295" s="12"/>
      <c r="AD1295" s="12"/>
      <c r="AE1295" s="11"/>
    </row>
    <row r="1296" spans="2:31" ht="15">
      <c r="B1296" s="11"/>
      <c r="C1296" s="11"/>
      <c r="P1296" s="12"/>
      <c r="Q1296" s="12"/>
      <c r="R1296" s="12"/>
      <c r="S1296" s="12"/>
      <c r="T1296" s="12"/>
      <c r="U1296" s="12"/>
      <c r="V1296" s="12"/>
      <c r="W1296" s="12"/>
      <c r="X1296" s="12"/>
      <c r="Y1296" s="12"/>
      <c r="Z1296" s="12"/>
      <c r="AA1296" s="12"/>
      <c r="AB1296" s="12"/>
      <c r="AC1296" s="12"/>
      <c r="AD1296" s="12"/>
      <c r="AE1296" s="11"/>
    </row>
    <row r="1297" spans="2:31" ht="15">
      <c r="B1297" s="11"/>
      <c r="C1297" s="11"/>
      <c r="P1297" s="12"/>
      <c r="Q1297" s="12"/>
      <c r="R1297" s="12"/>
      <c r="S1297" s="12"/>
      <c r="T1297" s="12"/>
      <c r="U1297" s="12"/>
      <c r="V1297" s="12"/>
      <c r="W1297" s="12"/>
      <c r="X1297" s="12"/>
      <c r="Y1297" s="12"/>
      <c r="Z1297" s="12"/>
      <c r="AA1297" s="12"/>
      <c r="AB1297" s="12"/>
      <c r="AC1297" s="12"/>
      <c r="AD1297" s="12"/>
      <c r="AE1297" s="11"/>
    </row>
    <row r="1298" spans="2:31" ht="15">
      <c r="B1298" s="11"/>
      <c r="C1298" s="11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/>
      <c r="Z1298" s="12"/>
      <c r="AA1298" s="12"/>
      <c r="AB1298" s="12"/>
      <c r="AC1298" s="12"/>
      <c r="AD1298" s="12"/>
      <c r="AE1298" s="11"/>
    </row>
    <row r="1299" spans="2:31" ht="15">
      <c r="B1299" s="11"/>
      <c r="C1299" s="11"/>
      <c r="P1299" s="12"/>
      <c r="Q1299" s="12"/>
      <c r="R1299" s="12"/>
      <c r="S1299" s="12"/>
      <c r="T1299" s="12"/>
      <c r="U1299" s="12"/>
      <c r="V1299" s="12"/>
      <c r="W1299" s="12"/>
      <c r="X1299" s="12"/>
      <c r="Y1299" s="12"/>
      <c r="Z1299" s="12"/>
      <c r="AA1299" s="12"/>
      <c r="AB1299" s="12"/>
      <c r="AC1299" s="12"/>
      <c r="AD1299" s="12"/>
      <c r="AE1299" s="11"/>
    </row>
    <row r="1300" spans="2:31" ht="15">
      <c r="B1300" s="11"/>
      <c r="C1300" s="11"/>
      <c r="P1300" s="12"/>
      <c r="Q1300" s="12"/>
      <c r="R1300" s="12"/>
      <c r="S1300" s="12"/>
      <c r="T1300" s="12"/>
      <c r="U1300" s="12"/>
      <c r="V1300" s="12"/>
      <c r="W1300" s="12"/>
      <c r="X1300" s="12"/>
      <c r="Y1300" s="12"/>
      <c r="Z1300" s="12"/>
      <c r="AA1300" s="12"/>
      <c r="AB1300" s="12"/>
      <c r="AC1300" s="12"/>
      <c r="AD1300" s="12"/>
      <c r="AE1300" s="11"/>
    </row>
    <row r="1301" spans="2:31" ht="15">
      <c r="B1301" s="11"/>
      <c r="C1301" s="11"/>
      <c r="P1301" s="12"/>
      <c r="Q1301" s="12"/>
      <c r="R1301" s="12"/>
      <c r="S1301" s="12"/>
      <c r="T1301" s="12"/>
      <c r="U1301" s="12"/>
      <c r="V1301" s="12"/>
      <c r="W1301" s="12"/>
      <c r="X1301" s="12"/>
      <c r="Y1301" s="12"/>
      <c r="Z1301" s="12"/>
      <c r="AA1301" s="12"/>
      <c r="AB1301" s="12"/>
      <c r="AC1301" s="12"/>
      <c r="AD1301" s="12"/>
      <c r="AE1301" s="11"/>
    </row>
    <row r="1302" spans="2:31" ht="15">
      <c r="B1302" s="11"/>
      <c r="C1302" s="11"/>
      <c r="P1302" s="12"/>
      <c r="Q1302" s="12"/>
      <c r="R1302" s="12"/>
      <c r="S1302" s="12"/>
      <c r="T1302" s="12"/>
      <c r="U1302" s="12"/>
      <c r="V1302" s="12"/>
      <c r="W1302" s="12"/>
      <c r="X1302" s="12"/>
      <c r="Y1302" s="12"/>
      <c r="Z1302" s="12"/>
      <c r="AA1302" s="12"/>
      <c r="AB1302" s="12"/>
      <c r="AC1302" s="12"/>
      <c r="AD1302" s="12"/>
      <c r="AE1302" s="11"/>
    </row>
    <row r="1303" spans="2:31" ht="15">
      <c r="B1303" s="11"/>
      <c r="C1303" s="11"/>
      <c r="P1303" s="12"/>
      <c r="Q1303" s="12"/>
      <c r="R1303" s="12"/>
      <c r="S1303" s="12"/>
      <c r="T1303" s="12"/>
      <c r="U1303" s="12"/>
      <c r="V1303" s="12"/>
      <c r="W1303" s="12"/>
      <c r="X1303" s="12"/>
      <c r="Y1303" s="12"/>
      <c r="Z1303" s="12"/>
      <c r="AA1303" s="12"/>
      <c r="AB1303" s="12"/>
      <c r="AC1303" s="12"/>
      <c r="AD1303" s="12"/>
      <c r="AE1303" s="11"/>
    </row>
    <row r="1304" spans="2:31" ht="15">
      <c r="B1304" s="11"/>
      <c r="C1304" s="11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/>
      <c r="AA1304" s="12"/>
      <c r="AB1304" s="12"/>
      <c r="AC1304" s="12"/>
      <c r="AD1304" s="12"/>
      <c r="AE1304" s="11"/>
    </row>
    <row r="1305" spans="2:31" ht="15">
      <c r="B1305" s="11"/>
      <c r="C1305" s="11"/>
      <c r="P1305" s="12"/>
      <c r="Q1305" s="12"/>
      <c r="R1305" s="12"/>
      <c r="S1305" s="12"/>
      <c r="T1305" s="12"/>
      <c r="U1305" s="12"/>
      <c r="V1305" s="12"/>
      <c r="W1305" s="12"/>
      <c r="X1305" s="12"/>
      <c r="Y1305" s="12"/>
      <c r="Z1305" s="12"/>
      <c r="AA1305" s="12"/>
      <c r="AB1305" s="12"/>
      <c r="AC1305" s="12"/>
      <c r="AD1305" s="12"/>
      <c r="AE1305" s="11"/>
    </row>
    <row r="1306" spans="2:31" ht="15">
      <c r="B1306" s="11"/>
      <c r="C1306" s="11"/>
      <c r="P1306" s="12"/>
      <c r="Q1306" s="12"/>
      <c r="R1306" s="12"/>
      <c r="S1306" s="12"/>
      <c r="T1306" s="12"/>
      <c r="U1306" s="12"/>
      <c r="V1306" s="12"/>
      <c r="W1306" s="12"/>
      <c r="X1306" s="12"/>
      <c r="Y1306" s="12"/>
      <c r="Z1306" s="12"/>
      <c r="AA1306" s="12"/>
      <c r="AB1306" s="12"/>
      <c r="AC1306" s="12"/>
      <c r="AD1306" s="12"/>
      <c r="AE1306" s="11"/>
    </row>
    <row r="1307" spans="2:31" ht="15">
      <c r="B1307" s="11"/>
      <c r="C1307" s="11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  <c r="AA1307" s="12"/>
      <c r="AB1307" s="12"/>
      <c r="AC1307" s="12"/>
      <c r="AD1307" s="12"/>
      <c r="AE1307" s="11"/>
    </row>
    <row r="1308" spans="2:31" ht="15">
      <c r="B1308" s="11"/>
      <c r="C1308" s="11"/>
      <c r="P1308" s="12"/>
      <c r="Q1308" s="12"/>
      <c r="R1308" s="12"/>
      <c r="S1308" s="12"/>
      <c r="T1308" s="12"/>
      <c r="U1308" s="12"/>
      <c r="V1308" s="12"/>
      <c r="W1308" s="12"/>
      <c r="X1308" s="12"/>
      <c r="Y1308" s="12"/>
      <c r="Z1308" s="12"/>
      <c r="AA1308" s="12"/>
      <c r="AB1308" s="12"/>
      <c r="AC1308" s="12"/>
      <c r="AD1308" s="12"/>
      <c r="AE1308" s="11"/>
    </row>
    <row r="1309" spans="2:31" ht="15">
      <c r="B1309" s="11"/>
      <c r="C1309" s="11"/>
      <c r="P1309" s="12"/>
      <c r="Q1309" s="12"/>
      <c r="R1309" s="12"/>
      <c r="S1309" s="12"/>
      <c r="T1309" s="12"/>
      <c r="U1309" s="12"/>
      <c r="V1309" s="12"/>
      <c r="W1309" s="12"/>
      <c r="X1309" s="12"/>
      <c r="Y1309" s="12"/>
      <c r="Z1309" s="12"/>
      <c r="AA1309" s="12"/>
      <c r="AB1309" s="12"/>
      <c r="AC1309" s="12"/>
      <c r="AD1309" s="12"/>
      <c r="AE1309" s="11"/>
    </row>
    <row r="1310" spans="2:31" ht="15">
      <c r="B1310" s="11"/>
      <c r="C1310" s="11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  <c r="AA1310" s="12"/>
      <c r="AB1310" s="12"/>
      <c r="AC1310" s="12"/>
      <c r="AD1310" s="12"/>
      <c r="AE1310" s="11"/>
    </row>
    <row r="1311" spans="2:31" ht="15">
      <c r="B1311" s="11"/>
      <c r="C1311" s="11"/>
      <c r="P1311" s="12"/>
      <c r="Q1311" s="12"/>
      <c r="R1311" s="12"/>
      <c r="S1311" s="12"/>
      <c r="T1311" s="12"/>
      <c r="U1311" s="12"/>
      <c r="V1311" s="12"/>
      <c r="W1311" s="12"/>
      <c r="X1311" s="12"/>
      <c r="Y1311" s="12"/>
      <c r="Z1311" s="12"/>
      <c r="AA1311" s="12"/>
      <c r="AB1311" s="12"/>
      <c r="AC1311" s="12"/>
      <c r="AD1311" s="12"/>
      <c r="AE1311" s="11"/>
    </row>
    <row r="1312" spans="2:31" ht="15">
      <c r="B1312" s="11"/>
      <c r="C1312" s="11"/>
      <c r="P1312" s="12"/>
      <c r="Q1312" s="12"/>
      <c r="R1312" s="12"/>
      <c r="S1312" s="12"/>
      <c r="T1312" s="12"/>
      <c r="U1312" s="12"/>
      <c r="V1312" s="12"/>
      <c r="W1312" s="12"/>
      <c r="X1312" s="12"/>
      <c r="Y1312" s="12"/>
      <c r="Z1312" s="12"/>
      <c r="AA1312" s="12"/>
      <c r="AB1312" s="12"/>
      <c r="AC1312" s="12"/>
      <c r="AD1312" s="12"/>
      <c r="AE1312" s="11"/>
    </row>
    <row r="1313" spans="2:31" ht="15">
      <c r="B1313" s="11"/>
      <c r="C1313" s="11"/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  <c r="AA1313" s="12"/>
      <c r="AB1313" s="12"/>
      <c r="AC1313" s="12"/>
      <c r="AD1313" s="12"/>
      <c r="AE1313" s="11"/>
    </row>
    <row r="1314" spans="2:31" ht="15">
      <c r="B1314" s="11"/>
      <c r="C1314" s="11"/>
      <c r="P1314" s="12"/>
      <c r="Q1314" s="12"/>
      <c r="R1314" s="12"/>
      <c r="S1314" s="12"/>
      <c r="T1314" s="12"/>
      <c r="U1314" s="12"/>
      <c r="V1314" s="12"/>
      <c r="W1314" s="12"/>
      <c r="X1314" s="12"/>
      <c r="Y1314" s="12"/>
      <c r="Z1314" s="12"/>
      <c r="AA1314" s="12"/>
      <c r="AB1314" s="12"/>
      <c r="AC1314" s="12"/>
      <c r="AD1314" s="12"/>
      <c r="AE1314" s="11"/>
    </row>
    <row r="1315" spans="2:31" ht="15">
      <c r="B1315" s="11"/>
      <c r="C1315" s="11"/>
      <c r="P1315" s="12"/>
      <c r="Q1315" s="12"/>
      <c r="R1315" s="12"/>
      <c r="S1315" s="12"/>
      <c r="T1315" s="12"/>
      <c r="U1315" s="12"/>
      <c r="V1315" s="12"/>
      <c r="W1315" s="12"/>
      <c r="X1315" s="12"/>
      <c r="Y1315" s="12"/>
      <c r="Z1315" s="12"/>
      <c r="AA1315" s="12"/>
      <c r="AB1315" s="12"/>
      <c r="AC1315" s="12"/>
      <c r="AD1315" s="12"/>
      <c r="AE1315" s="11"/>
    </row>
    <row r="1316" spans="2:31" ht="15">
      <c r="B1316" s="11"/>
      <c r="C1316" s="11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/>
      <c r="Z1316" s="12"/>
      <c r="AA1316" s="12"/>
      <c r="AB1316" s="12"/>
      <c r="AC1316" s="12"/>
      <c r="AD1316" s="12"/>
      <c r="AE1316" s="11"/>
    </row>
    <row r="1317" spans="2:31" ht="15">
      <c r="B1317" s="11"/>
      <c r="C1317" s="11"/>
      <c r="P1317" s="12"/>
      <c r="Q1317" s="12"/>
      <c r="R1317" s="12"/>
      <c r="S1317" s="12"/>
      <c r="T1317" s="12"/>
      <c r="U1317" s="12"/>
      <c r="V1317" s="12"/>
      <c r="W1317" s="12"/>
      <c r="X1317" s="12"/>
      <c r="Y1317" s="12"/>
      <c r="Z1317" s="12"/>
      <c r="AA1317" s="12"/>
      <c r="AB1317" s="12"/>
      <c r="AC1317" s="12"/>
      <c r="AD1317" s="12"/>
      <c r="AE1317" s="11"/>
    </row>
    <row r="1318" spans="2:31" ht="15">
      <c r="B1318" s="11"/>
      <c r="C1318" s="11"/>
      <c r="P1318" s="12"/>
      <c r="Q1318" s="12"/>
      <c r="R1318" s="12"/>
      <c r="S1318" s="12"/>
      <c r="T1318" s="12"/>
      <c r="U1318" s="12"/>
      <c r="V1318" s="12"/>
      <c r="W1318" s="12"/>
      <c r="X1318" s="12"/>
      <c r="Y1318" s="12"/>
      <c r="Z1318" s="12"/>
      <c r="AA1318" s="12"/>
      <c r="AB1318" s="12"/>
      <c r="AC1318" s="12"/>
      <c r="AD1318" s="12"/>
      <c r="AE1318" s="11"/>
    </row>
    <row r="1319" spans="2:31" ht="15">
      <c r="B1319" s="11"/>
      <c r="C1319" s="11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  <c r="AA1319" s="12"/>
      <c r="AB1319" s="12"/>
      <c r="AC1319" s="12"/>
      <c r="AD1319" s="12"/>
      <c r="AE1319" s="11"/>
    </row>
    <row r="1320" spans="2:31" ht="15">
      <c r="B1320" s="11"/>
      <c r="C1320" s="11"/>
      <c r="P1320" s="12"/>
      <c r="Q1320" s="12"/>
      <c r="R1320" s="12"/>
      <c r="S1320" s="12"/>
      <c r="T1320" s="12"/>
      <c r="U1320" s="12"/>
      <c r="V1320" s="12"/>
      <c r="W1320" s="12"/>
      <c r="X1320" s="12"/>
      <c r="Y1320" s="12"/>
      <c r="Z1320" s="12"/>
      <c r="AA1320" s="12"/>
      <c r="AB1320" s="12"/>
      <c r="AC1320" s="12"/>
      <c r="AD1320" s="12"/>
      <c r="AE1320" s="11"/>
    </row>
    <row r="1321" spans="2:31" ht="15">
      <c r="B1321" s="11"/>
      <c r="C1321" s="11"/>
      <c r="P1321" s="12"/>
      <c r="Q1321" s="12"/>
      <c r="R1321" s="12"/>
      <c r="S1321" s="12"/>
      <c r="T1321" s="12"/>
      <c r="U1321" s="12"/>
      <c r="V1321" s="12"/>
      <c r="W1321" s="12"/>
      <c r="X1321" s="12"/>
      <c r="Y1321" s="12"/>
      <c r="Z1321" s="12"/>
      <c r="AA1321" s="12"/>
      <c r="AB1321" s="12"/>
      <c r="AC1321" s="12"/>
      <c r="AD1321" s="12"/>
      <c r="AE1321" s="11"/>
    </row>
    <row r="1322" spans="2:31" ht="15">
      <c r="B1322" s="11"/>
      <c r="C1322" s="11"/>
      <c r="P1322" s="12"/>
      <c r="Q1322" s="12"/>
      <c r="R1322" s="12"/>
      <c r="S1322" s="12"/>
      <c r="T1322" s="12"/>
      <c r="U1322" s="12"/>
      <c r="V1322" s="12"/>
      <c r="W1322" s="12"/>
      <c r="X1322" s="12"/>
      <c r="Y1322" s="12"/>
      <c r="Z1322" s="12"/>
      <c r="AA1322" s="12"/>
      <c r="AB1322" s="12"/>
      <c r="AC1322" s="12"/>
      <c r="AD1322" s="12"/>
      <c r="AE1322" s="11"/>
    </row>
    <row r="1323" spans="2:31" ht="15">
      <c r="B1323" s="11"/>
      <c r="C1323" s="11"/>
      <c r="P1323" s="12"/>
      <c r="Q1323" s="12"/>
      <c r="R1323" s="12"/>
      <c r="S1323" s="12"/>
      <c r="T1323" s="12"/>
      <c r="U1323" s="12"/>
      <c r="V1323" s="12"/>
      <c r="W1323" s="12"/>
      <c r="X1323" s="12"/>
      <c r="Y1323" s="12"/>
      <c r="Z1323" s="12"/>
      <c r="AA1323" s="12"/>
      <c r="AB1323" s="12"/>
      <c r="AC1323" s="12"/>
      <c r="AD1323" s="12"/>
      <c r="AE1323" s="11"/>
    </row>
    <row r="1324" spans="2:31" ht="15">
      <c r="B1324" s="11"/>
      <c r="C1324" s="11"/>
      <c r="P1324" s="12"/>
      <c r="Q1324" s="12"/>
      <c r="R1324" s="12"/>
      <c r="S1324" s="12"/>
      <c r="T1324" s="12"/>
      <c r="U1324" s="12"/>
      <c r="V1324" s="12"/>
      <c r="W1324" s="12"/>
      <c r="X1324" s="12"/>
      <c r="Y1324" s="12"/>
      <c r="Z1324" s="12"/>
      <c r="AA1324" s="12"/>
      <c r="AB1324" s="12"/>
      <c r="AC1324" s="12"/>
      <c r="AD1324" s="12"/>
      <c r="AE1324" s="11"/>
    </row>
    <row r="1325" spans="2:31" ht="15">
      <c r="B1325" s="11"/>
      <c r="C1325" s="11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  <c r="AA1325" s="12"/>
      <c r="AB1325" s="12"/>
      <c r="AC1325" s="12"/>
      <c r="AD1325" s="12"/>
      <c r="AE1325" s="11"/>
    </row>
    <row r="1326" spans="2:31" ht="15">
      <c r="B1326" s="11"/>
      <c r="C1326" s="11"/>
      <c r="P1326" s="12"/>
      <c r="Q1326" s="12"/>
      <c r="R1326" s="12"/>
      <c r="S1326" s="12"/>
      <c r="T1326" s="12"/>
      <c r="U1326" s="12"/>
      <c r="V1326" s="12"/>
      <c r="W1326" s="12"/>
      <c r="X1326" s="12"/>
      <c r="Y1326" s="12"/>
      <c r="Z1326" s="12"/>
      <c r="AA1326" s="12"/>
      <c r="AB1326" s="12"/>
      <c r="AC1326" s="12"/>
      <c r="AD1326" s="12"/>
      <c r="AE1326" s="11"/>
    </row>
    <row r="1327" spans="2:31" ht="15">
      <c r="B1327" s="11"/>
      <c r="C1327" s="11"/>
      <c r="P1327" s="12"/>
      <c r="Q1327" s="12"/>
      <c r="R1327" s="12"/>
      <c r="S1327" s="12"/>
      <c r="T1327" s="12"/>
      <c r="U1327" s="12"/>
      <c r="V1327" s="12"/>
      <c r="W1327" s="12"/>
      <c r="X1327" s="12"/>
      <c r="Y1327" s="12"/>
      <c r="Z1327" s="12"/>
      <c r="AA1327" s="12"/>
      <c r="AB1327" s="12"/>
      <c r="AC1327" s="12"/>
      <c r="AD1327" s="12"/>
      <c r="AE1327" s="11"/>
    </row>
    <row r="1328" spans="2:31" ht="15">
      <c r="B1328" s="11"/>
      <c r="C1328" s="11"/>
      <c r="P1328" s="12"/>
      <c r="Q1328" s="12"/>
      <c r="R1328" s="12"/>
      <c r="S1328" s="12"/>
      <c r="T1328" s="12"/>
      <c r="U1328" s="12"/>
      <c r="V1328" s="12"/>
      <c r="W1328" s="12"/>
      <c r="X1328" s="12"/>
      <c r="Y1328" s="12"/>
      <c r="Z1328" s="12"/>
      <c r="AA1328" s="12"/>
      <c r="AB1328" s="12"/>
      <c r="AC1328" s="12"/>
      <c r="AD1328" s="12"/>
      <c r="AE1328" s="11"/>
    </row>
    <row r="1329" spans="2:31" ht="15">
      <c r="B1329" s="11"/>
      <c r="C1329" s="11"/>
      <c r="P1329" s="12"/>
      <c r="Q1329" s="12"/>
      <c r="R1329" s="12"/>
      <c r="S1329" s="12"/>
      <c r="T1329" s="12"/>
      <c r="U1329" s="12"/>
      <c r="V1329" s="12"/>
      <c r="W1329" s="12"/>
      <c r="X1329" s="12"/>
      <c r="Y1329" s="12"/>
      <c r="Z1329" s="12"/>
      <c r="AA1329" s="12"/>
      <c r="AB1329" s="12"/>
      <c r="AC1329" s="12"/>
      <c r="AD1329" s="12"/>
      <c r="AE1329" s="11"/>
    </row>
    <row r="1330" spans="2:31" ht="15">
      <c r="B1330" s="11"/>
      <c r="C1330" s="11"/>
      <c r="P1330" s="12"/>
      <c r="Q1330" s="12"/>
      <c r="R1330" s="12"/>
      <c r="S1330" s="12"/>
      <c r="T1330" s="12"/>
      <c r="U1330" s="12"/>
      <c r="V1330" s="12"/>
      <c r="W1330" s="12"/>
      <c r="X1330" s="12"/>
      <c r="Y1330" s="12"/>
      <c r="Z1330" s="12"/>
      <c r="AA1330" s="12"/>
      <c r="AB1330" s="12"/>
      <c r="AC1330" s="12"/>
      <c r="AD1330" s="12"/>
      <c r="AE1330" s="11"/>
    </row>
    <row r="1331" spans="2:31" ht="15">
      <c r="B1331" s="11"/>
      <c r="C1331" s="11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  <c r="AA1331" s="12"/>
      <c r="AB1331" s="12"/>
      <c r="AC1331" s="12"/>
      <c r="AD1331" s="12"/>
      <c r="AE1331" s="11"/>
    </row>
    <row r="1332" spans="2:31" ht="15">
      <c r="B1332" s="11"/>
      <c r="C1332" s="11"/>
      <c r="P1332" s="12"/>
      <c r="Q1332" s="12"/>
      <c r="R1332" s="12"/>
      <c r="S1332" s="12"/>
      <c r="T1332" s="12"/>
      <c r="U1332" s="12"/>
      <c r="V1332" s="12"/>
      <c r="W1332" s="12"/>
      <c r="X1332" s="12"/>
      <c r="Y1332" s="12"/>
      <c r="Z1332" s="12"/>
      <c r="AA1332" s="12"/>
      <c r="AB1332" s="12"/>
      <c r="AC1332" s="12"/>
      <c r="AD1332" s="12"/>
      <c r="AE1332" s="11"/>
    </row>
    <row r="1333" spans="2:31" ht="15">
      <c r="B1333" s="11"/>
      <c r="C1333" s="11"/>
      <c r="P1333" s="12"/>
      <c r="Q1333" s="12"/>
      <c r="R1333" s="12"/>
      <c r="S1333" s="12"/>
      <c r="T1333" s="12"/>
      <c r="U1333" s="12"/>
      <c r="V1333" s="12"/>
      <c r="W1333" s="12"/>
      <c r="X1333" s="12"/>
      <c r="Y1333" s="12"/>
      <c r="Z1333" s="12"/>
      <c r="AA1333" s="12"/>
      <c r="AB1333" s="12"/>
      <c r="AC1333" s="12"/>
      <c r="AD1333" s="12"/>
      <c r="AE1333" s="11"/>
    </row>
    <row r="1334" spans="2:31" ht="15">
      <c r="B1334" s="11"/>
      <c r="C1334" s="11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  <c r="AA1334" s="12"/>
      <c r="AB1334" s="12"/>
      <c r="AC1334" s="12"/>
      <c r="AD1334" s="12"/>
      <c r="AE1334" s="11"/>
    </row>
    <row r="1335" spans="2:31" ht="15">
      <c r="B1335" s="11"/>
      <c r="C1335" s="11"/>
      <c r="P1335" s="12"/>
      <c r="Q1335" s="12"/>
      <c r="R1335" s="12"/>
      <c r="S1335" s="12"/>
      <c r="T1335" s="12"/>
      <c r="U1335" s="12"/>
      <c r="V1335" s="12"/>
      <c r="W1335" s="12"/>
      <c r="X1335" s="12"/>
      <c r="Y1335" s="12"/>
      <c r="Z1335" s="12"/>
      <c r="AA1335" s="12"/>
      <c r="AB1335" s="12"/>
      <c r="AC1335" s="12"/>
      <c r="AD1335" s="12"/>
      <c r="AE1335" s="11"/>
    </row>
    <row r="1336" spans="2:31" ht="15">
      <c r="B1336" s="11"/>
      <c r="C1336" s="11"/>
      <c r="P1336" s="12"/>
      <c r="Q1336" s="12"/>
      <c r="R1336" s="12"/>
      <c r="S1336" s="12"/>
      <c r="T1336" s="12"/>
      <c r="U1336" s="12"/>
      <c r="V1336" s="12"/>
      <c r="W1336" s="12"/>
      <c r="X1336" s="12"/>
      <c r="Y1336" s="12"/>
      <c r="Z1336" s="12"/>
      <c r="AA1336" s="12"/>
      <c r="AB1336" s="12"/>
      <c r="AC1336" s="12"/>
      <c r="AD1336" s="12"/>
      <c r="AE1336" s="11"/>
    </row>
    <row r="1337" spans="2:31" ht="15">
      <c r="B1337" s="11"/>
      <c r="C1337" s="11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  <c r="AA1337" s="12"/>
      <c r="AB1337" s="12"/>
      <c r="AC1337" s="12"/>
      <c r="AD1337" s="12"/>
      <c r="AE1337" s="11"/>
    </row>
    <row r="1338" spans="2:31" ht="15">
      <c r="B1338" s="11"/>
      <c r="C1338" s="11"/>
      <c r="P1338" s="12"/>
      <c r="Q1338" s="12"/>
      <c r="R1338" s="12"/>
      <c r="S1338" s="12"/>
      <c r="T1338" s="12"/>
      <c r="U1338" s="12"/>
      <c r="V1338" s="12"/>
      <c r="W1338" s="12"/>
      <c r="X1338" s="12"/>
      <c r="Y1338" s="12"/>
      <c r="Z1338" s="12"/>
      <c r="AA1338" s="12"/>
      <c r="AB1338" s="12"/>
      <c r="AC1338" s="12"/>
      <c r="AD1338" s="12"/>
      <c r="AE1338" s="11"/>
    </row>
    <row r="1339" spans="2:31" ht="15">
      <c r="B1339" s="11"/>
      <c r="C1339" s="11"/>
      <c r="P1339" s="12"/>
      <c r="Q1339" s="12"/>
      <c r="R1339" s="12"/>
      <c r="S1339" s="12"/>
      <c r="T1339" s="12"/>
      <c r="U1339" s="12"/>
      <c r="V1339" s="12"/>
      <c r="W1339" s="12"/>
      <c r="X1339" s="12"/>
      <c r="Y1339" s="12"/>
      <c r="Z1339" s="12"/>
      <c r="AA1339" s="12"/>
      <c r="AB1339" s="12"/>
      <c r="AC1339" s="12"/>
      <c r="AD1339" s="12"/>
      <c r="AE1339" s="11"/>
    </row>
    <row r="1340" spans="2:31" ht="15">
      <c r="B1340" s="11"/>
      <c r="C1340" s="11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  <c r="AA1340" s="12"/>
      <c r="AB1340" s="12"/>
      <c r="AC1340" s="12"/>
      <c r="AD1340" s="12"/>
      <c r="AE1340" s="11"/>
    </row>
    <row r="1341" spans="2:31" ht="15">
      <c r="B1341" s="11"/>
      <c r="C1341" s="11"/>
      <c r="P1341" s="12"/>
      <c r="Q1341" s="12"/>
      <c r="R1341" s="12"/>
      <c r="S1341" s="12"/>
      <c r="T1341" s="12"/>
      <c r="U1341" s="12"/>
      <c r="V1341" s="12"/>
      <c r="W1341" s="12"/>
      <c r="X1341" s="12"/>
      <c r="Y1341" s="12"/>
      <c r="Z1341" s="12"/>
      <c r="AA1341" s="12"/>
      <c r="AB1341" s="12"/>
      <c r="AC1341" s="12"/>
      <c r="AD1341" s="12"/>
      <c r="AE1341" s="11"/>
    </row>
    <row r="1342" spans="2:31" ht="15">
      <c r="B1342" s="11"/>
      <c r="C1342" s="11"/>
      <c r="P1342" s="12"/>
      <c r="Q1342" s="12"/>
      <c r="R1342" s="12"/>
      <c r="S1342" s="12"/>
      <c r="T1342" s="12"/>
      <c r="U1342" s="12"/>
      <c r="V1342" s="12"/>
      <c r="W1342" s="12"/>
      <c r="X1342" s="12"/>
      <c r="Y1342" s="12"/>
      <c r="Z1342" s="12"/>
      <c r="AA1342" s="12"/>
      <c r="AB1342" s="12"/>
      <c r="AC1342" s="12"/>
      <c r="AD1342" s="12"/>
      <c r="AE1342" s="11"/>
    </row>
    <row r="1343" spans="2:31" ht="15">
      <c r="B1343" s="11"/>
      <c r="C1343" s="11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  <c r="AA1343" s="12"/>
      <c r="AB1343" s="12"/>
      <c r="AC1343" s="12"/>
      <c r="AD1343" s="12"/>
      <c r="AE1343" s="11"/>
    </row>
    <row r="1344" spans="2:31" ht="15">
      <c r="B1344" s="11"/>
      <c r="C1344" s="11"/>
      <c r="P1344" s="12"/>
      <c r="Q1344" s="12"/>
      <c r="R1344" s="12"/>
      <c r="S1344" s="12"/>
      <c r="T1344" s="12"/>
      <c r="U1344" s="12"/>
      <c r="V1344" s="12"/>
      <c r="W1344" s="12"/>
      <c r="X1344" s="12"/>
      <c r="Y1344" s="12"/>
      <c r="Z1344" s="12"/>
      <c r="AA1344" s="12"/>
      <c r="AB1344" s="12"/>
      <c r="AC1344" s="12"/>
      <c r="AD1344" s="12"/>
      <c r="AE1344" s="11"/>
    </row>
    <row r="1345" spans="2:31" ht="15">
      <c r="B1345" s="11"/>
      <c r="C1345" s="11"/>
      <c r="P1345" s="12"/>
      <c r="Q1345" s="12"/>
      <c r="R1345" s="12"/>
      <c r="S1345" s="12"/>
      <c r="T1345" s="12"/>
      <c r="U1345" s="12"/>
      <c r="V1345" s="12"/>
      <c r="W1345" s="12"/>
      <c r="X1345" s="12"/>
      <c r="Y1345" s="12"/>
      <c r="Z1345" s="12"/>
      <c r="AA1345" s="12"/>
      <c r="AB1345" s="12"/>
      <c r="AC1345" s="12"/>
      <c r="AD1345" s="12"/>
      <c r="AE1345" s="11"/>
    </row>
    <row r="1346" spans="2:31" ht="15">
      <c r="B1346" s="11"/>
      <c r="C1346" s="11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  <c r="AA1346" s="12"/>
      <c r="AB1346" s="12"/>
      <c r="AC1346" s="12"/>
      <c r="AD1346" s="12"/>
      <c r="AE1346" s="11"/>
    </row>
    <row r="1347" spans="2:31" ht="15">
      <c r="B1347" s="11"/>
      <c r="C1347" s="11"/>
      <c r="P1347" s="12"/>
      <c r="Q1347" s="12"/>
      <c r="R1347" s="12"/>
      <c r="S1347" s="12"/>
      <c r="T1347" s="12"/>
      <c r="U1347" s="12"/>
      <c r="V1347" s="12"/>
      <c r="W1347" s="12"/>
      <c r="X1347" s="12"/>
      <c r="Y1347" s="12"/>
      <c r="Z1347" s="12"/>
      <c r="AA1347" s="12"/>
      <c r="AB1347" s="12"/>
      <c r="AC1347" s="12"/>
      <c r="AD1347" s="12"/>
      <c r="AE1347" s="11"/>
    </row>
    <row r="1348" spans="2:31" ht="15">
      <c r="B1348" s="11"/>
      <c r="C1348" s="11"/>
      <c r="P1348" s="12"/>
      <c r="Q1348" s="12"/>
      <c r="R1348" s="12"/>
      <c r="S1348" s="12"/>
      <c r="T1348" s="12"/>
      <c r="U1348" s="12"/>
      <c r="V1348" s="12"/>
      <c r="W1348" s="12"/>
      <c r="X1348" s="12"/>
      <c r="Y1348" s="12"/>
      <c r="Z1348" s="12"/>
      <c r="AA1348" s="12"/>
      <c r="AB1348" s="12"/>
      <c r="AC1348" s="12"/>
      <c r="AD1348" s="12"/>
      <c r="AE1348" s="11"/>
    </row>
    <row r="1349" spans="2:31" ht="15">
      <c r="B1349" s="11"/>
      <c r="C1349" s="11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  <c r="AA1349" s="12"/>
      <c r="AB1349" s="12"/>
      <c r="AC1349" s="12"/>
      <c r="AD1349" s="12"/>
      <c r="AE1349" s="11"/>
    </row>
    <row r="1350" spans="2:31" ht="15">
      <c r="B1350" s="11"/>
      <c r="C1350" s="11"/>
      <c r="P1350" s="12"/>
      <c r="Q1350" s="12"/>
      <c r="R1350" s="12"/>
      <c r="S1350" s="12"/>
      <c r="T1350" s="12"/>
      <c r="U1350" s="12"/>
      <c r="V1350" s="12"/>
      <c r="W1350" s="12"/>
      <c r="X1350" s="12"/>
      <c r="Y1350" s="12"/>
      <c r="Z1350" s="12"/>
      <c r="AA1350" s="12"/>
      <c r="AB1350" s="12"/>
      <c r="AC1350" s="12"/>
      <c r="AD1350" s="12"/>
      <c r="AE1350" s="11"/>
    </row>
    <row r="1351" spans="2:31" ht="15">
      <c r="B1351" s="11"/>
      <c r="C1351" s="11"/>
      <c r="P1351" s="12"/>
      <c r="Q1351" s="12"/>
      <c r="R1351" s="12"/>
      <c r="S1351" s="12"/>
      <c r="T1351" s="12"/>
      <c r="U1351" s="12"/>
      <c r="V1351" s="12"/>
      <c r="W1351" s="12"/>
      <c r="X1351" s="12"/>
      <c r="Y1351" s="12"/>
      <c r="Z1351" s="12"/>
      <c r="AA1351" s="12"/>
      <c r="AB1351" s="12"/>
      <c r="AC1351" s="12"/>
      <c r="AD1351" s="12"/>
      <c r="AE1351" s="11"/>
    </row>
    <row r="1352" spans="2:31" ht="15">
      <c r="B1352" s="11"/>
      <c r="C1352" s="11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  <c r="AA1352" s="12"/>
      <c r="AB1352" s="12"/>
      <c r="AC1352" s="12"/>
      <c r="AD1352" s="12"/>
      <c r="AE1352" s="11"/>
    </row>
    <row r="1353" spans="2:31" ht="15">
      <c r="B1353" s="11"/>
      <c r="C1353" s="11"/>
      <c r="P1353" s="12"/>
      <c r="Q1353" s="12"/>
      <c r="R1353" s="12"/>
      <c r="S1353" s="12"/>
      <c r="T1353" s="12"/>
      <c r="U1353" s="12"/>
      <c r="V1353" s="12"/>
      <c r="W1353" s="12"/>
      <c r="X1353" s="12"/>
      <c r="Y1353" s="12"/>
      <c r="Z1353" s="12"/>
      <c r="AA1353" s="12"/>
      <c r="AB1353" s="12"/>
      <c r="AC1353" s="12"/>
      <c r="AD1353" s="12"/>
      <c r="AE1353" s="11"/>
    </row>
    <row r="1354" spans="2:31" ht="15">
      <c r="B1354" s="11"/>
      <c r="C1354" s="11"/>
      <c r="P1354" s="12"/>
      <c r="Q1354" s="12"/>
      <c r="R1354" s="12"/>
      <c r="S1354" s="12"/>
      <c r="T1354" s="12"/>
      <c r="U1354" s="12"/>
      <c r="V1354" s="12"/>
      <c r="W1354" s="12"/>
      <c r="X1354" s="12"/>
      <c r="Y1354" s="12"/>
      <c r="Z1354" s="12"/>
      <c r="AA1354" s="12"/>
      <c r="AB1354" s="12"/>
      <c r="AC1354" s="12"/>
      <c r="AD1354" s="12"/>
      <c r="AE1354" s="11"/>
    </row>
    <row r="1355" spans="2:31" ht="15">
      <c r="B1355" s="11"/>
      <c r="C1355" s="11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  <c r="AA1355" s="12"/>
      <c r="AB1355" s="12"/>
      <c r="AC1355" s="12"/>
      <c r="AD1355" s="12"/>
      <c r="AE1355" s="11"/>
    </row>
    <row r="1356" spans="2:31" ht="15">
      <c r="B1356" s="11"/>
      <c r="C1356" s="11"/>
      <c r="P1356" s="12"/>
      <c r="Q1356" s="12"/>
      <c r="R1356" s="12"/>
      <c r="S1356" s="12"/>
      <c r="T1356" s="12"/>
      <c r="U1356" s="12"/>
      <c r="V1356" s="12"/>
      <c r="W1356" s="12"/>
      <c r="X1356" s="12"/>
      <c r="Y1356" s="12"/>
      <c r="Z1356" s="12"/>
      <c r="AA1356" s="12"/>
      <c r="AB1356" s="12"/>
      <c r="AC1356" s="12"/>
      <c r="AD1356" s="12"/>
      <c r="AE1356" s="11"/>
    </row>
    <row r="1357" spans="2:31" ht="15">
      <c r="B1357" s="11"/>
      <c r="C1357" s="11"/>
      <c r="P1357" s="12"/>
      <c r="Q1357" s="12"/>
      <c r="R1357" s="12"/>
      <c r="S1357" s="12"/>
      <c r="T1357" s="12"/>
      <c r="U1357" s="12"/>
      <c r="V1357" s="12"/>
      <c r="W1357" s="12"/>
      <c r="X1357" s="12"/>
      <c r="Y1357" s="12"/>
      <c r="Z1357" s="12"/>
      <c r="AA1357" s="12"/>
      <c r="AB1357" s="12"/>
      <c r="AC1357" s="12"/>
      <c r="AD1357" s="12"/>
      <c r="AE1357" s="11"/>
    </row>
    <row r="1358" spans="2:31" ht="15">
      <c r="B1358" s="11"/>
      <c r="C1358" s="11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1"/>
    </row>
    <row r="1359" spans="2:31" ht="15">
      <c r="B1359" s="11"/>
      <c r="C1359" s="11"/>
      <c r="P1359" s="12"/>
      <c r="Q1359" s="12"/>
      <c r="R1359" s="12"/>
      <c r="S1359" s="12"/>
      <c r="T1359" s="12"/>
      <c r="U1359" s="12"/>
      <c r="V1359" s="12"/>
      <c r="W1359" s="12"/>
      <c r="X1359" s="12"/>
      <c r="Y1359" s="12"/>
      <c r="Z1359" s="12"/>
      <c r="AA1359" s="12"/>
      <c r="AB1359" s="12"/>
      <c r="AC1359" s="12"/>
      <c r="AD1359" s="12"/>
      <c r="AE1359" s="11"/>
    </row>
    <row r="1360" spans="2:31" ht="15">
      <c r="B1360" s="11"/>
      <c r="C1360" s="11"/>
      <c r="P1360" s="12"/>
      <c r="Q1360" s="12"/>
      <c r="R1360" s="12"/>
      <c r="S1360" s="12"/>
      <c r="T1360" s="12"/>
      <c r="U1360" s="12"/>
      <c r="V1360" s="12"/>
      <c r="W1360" s="12"/>
      <c r="X1360" s="12"/>
      <c r="Y1360" s="12"/>
      <c r="Z1360" s="12"/>
      <c r="AA1360" s="12"/>
      <c r="AB1360" s="12"/>
      <c r="AC1360" s="12"/>
      <c r="AD1360" s="12"/>
      <c r="AE1360" s="11"/>
    </row>
    <row r="1361" spans="2:31" ht="15">
      <c r="B1361" s="11"/>
      <c r="C1361" s="11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  <c r="AA1361" s="12"/>
      <c r="AB1361" s="12"/>
      <c r="AC1361" s="12"/>
      <c r="AD1361" s="12"/>
      <c r="AE1361" s="11"/>
    </row>
    <row r="1362" spans="2:31" ht="15">
      <c r="B1362" s="11"/>
      <c r="C1362" s="11"/>
      <c r="P1362" s="12"/>
      <c r="Q1362" s="12"/>
      <c r="R1362" s="12"/>
      <c r="S1362" s="12"/>
      <c r="T1362" s="12"/>
      <c r="U1362" s="12"/>
      <c r="V1362" s="12"/>
      <c r="W1362" s="12"/>
      <c r="X1362" s="12"/>
      <c r="Y1362" s="12"/>
      <c r="Z1362" s="12"/>
      <c r="AA1362" s="12"/>
      <c r="AB1362" s="12"/>
      <c r="AC1362" s="12"/>
      <c r="AD1362" s="12"/>
      <c r="AE1362" s="11"/>
    </row>
    <row r="1363" spans="2:31" ht="15">
      <c r="B1363" s="11"/>
      <c r="C1363" s="11"/>
      <c r="P1363" s="12"/>
      <c r="Q1363" s="12"/>
      <c r="R1363" s="12"/>
      <c r="S1363" s="12"/>
      <c r="T1363" s="12"/>
      <c r="U1363" s="12"/>
      <c r="V1363" s="12"/>
      <c r="W1363" s="12"/>
      <c r="X1363" s="12"/>
      <c r="Y1363" s="12"/>
      <c r="Z1363" s="12"/>
      <c r="AA1363" s="12"/>
      <c r="AB1363" s="12"/>
      <c r="AC1363" s="12"/>
      <c r="AD1363" s="12"/>
      <c r="AE1363" s="11"/>
    </row>
    <row r="1364" spans="2:31" ht="15">
      <c r="B1364" s="11"/>
      <c r="C1364" s="11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  <c r="AA1364" s="12"/>
      <c r="AB1364" s="12"/>
      <c r="AC1364" s="12"/>
      <c r="AD1364" s="12"/>
      <c r="AE1364" s="11"/>
    </row>
    <row r="1365" spans="2:31" ht="15">
      <c r="B1365" s="11"/>
      <c r="C1365" s="11"/>
      <c r="P1365" s="12"/>
      <c r="Q1365" s="12"/>
      <c r="R1365" s="12"/>
      <c r="S1365" s="12"/>
      <c r="T1365" s="12"/>
      <c r="U1365" s="12"/>
      <c r="V1365" s="12"/>
      <c r="W1365" s="12"/>
      <c r="X1365" s="12"/>
      <c r="Y1365" s="12"/>
      <c r="Z1365" s="12"/>
      <c r="AA1365" s="12"/>
      <c r="AB1365" s="12"/>
      <c r="AC1365" s="12"/>
      <c r="AD1365" s="12"/>
      <c r="AE1365" s="11"/>
    </row>
    <row r="1366" spans="2:31" ht="15">
      <c r="B1366" s="11"/>
      <c r="C1366" s="11"/>
      <c r="P1366" s="12"/>
      <c r="Q1366" s="12"/>
      <c r="R1366" s="12"/>
      <c r="S1366" s="12"/>
      <c r="T1366" s="12"/>
      <c r="U1366" s="12"/>
      <c r="V1366" s="12"/>
      <c r="W1366" s="12"/>
      <c r="X1366" s="12"/>
      <c r="Y1366" s="12"/>
      <c r="Z1366" s="12"/>
      <c r="AA1366" s="12"/>
      <c r="AB1366" s="12"/>
      <c r="AC1366" s="12"/>
      <c r="AD1366" s="12"/>
      <c r="AE1366" s="11"/>
    </row>
    <row r="1367" spans="2:31" ht="15">
      <c r="B1367" s="11"/>
      <c r="C1367" s="11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  <c r="AA1367" s="12"/>
      <c r="AB1367" s="12"/>
      <c r="AC1367" s="12"/>
      <c r="AD1367" s="12"/>
      <c r="AE1367" s="11"/>
    </row>
    <row r="1368" spans="2:31" ht="15">
      <c r="B1368" s="11"/>
      <c r="C1368" s="11"/>
      <c r="P1368" s="12"/>
      <c r="Q1368" s="12"/>
      <c r="R1368" s="12"/>
      <c r="S1368" s="12"/>
      <c r="T1368" s="12"/>
      <c r="U1368" s="12"/>
      <c r="V1368" s="12"/>
      <c r="W1368" s="12"/>
      <c r="X1368" s="12"/>
      <c r="Y1368" s="12"/>
      <c r="Z1368" s="12"/>
      <c r="AA1368" s="12"/>
      <c r="AB1368" s="12"/>
      <c r="AC1368" s="12"/>
      <c r="AD1368" s="12"/>
      <c r="AE1368" s="11"/>
    </row>
    <row r="1369" spans="2:31" ht="15">
      <c r="B1369" s="11"/>
      <c r="C1369" s="11"/>
      <c r="P1369" s="12"/>
      <c r="Q1369" s="12"/>
      <c r="R1369" s="12"/>
      <c r="S1369" s="12"/>
      <c r="T1369" s="12"/>
      <c r="U1369" s="12"/>
      <c r="V1369" s="12"/>
      <c r="W1369" s="12"/>
      <c r="X1369" s="12"/>
      <c r="Y1369" s="12"/>
      <c r="Z1369" s="12"/>
      <c r="AA1369" s="12"/>
      <c r="AB1369" s="12"/>
      <c r="AC1369" s="12"/>
      <c r="AD1369" s="12"/>
      <c r="AE1369" s="11"/>
    </row>
    <row r="1370" spans="2:31" ht="15">
      <c r="B1370" s="11"/>
      <c r="C1370" s="11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  <c r="AA1370" s="12"/>
      <c r="AB1370" s="12"/>
      <c r="AC1370" s="12"/>
      <c r="AD1370" s="12"/>
      <c r="AE1370" s="11"/>
    </row>
    <row r="1371" spans="2:31" ht="15">
      <c r="B1371" s="11"/>
      <c r="C1371" s="11"/>
      <c r="P1371" s="12"/>
      <c r="Q1371" s="12"/>
      <c r="R1371" s="12"/>
      <c r="S1371" s="12"/>
      <c r="T1371" s="12"/>
      <c r="U1371" s="12"/>
      <c r="V1371" s="12"/>
      <c r="W1371" s="12"/>
      <c r="X1371" s="12"/>
      <c r="Y1371" s="12"/>
      <c r="Z1371" s="12"/>
      <c r="AA1371" s="12"/>
      <c r="AB1371" s="12"/>
      <c r="AC1371" s="12"/>
      <c r="AD1371" s="12"/>
      <c r="AE1371" s="11"/>
    </row>
    <row r="1372" spans="2:31" ht="15">
      <c r="B1372" s="11"/>
      <c r="C1372" s="11"/>
      <c r="P1372" s="12"/>
      <c r="Q1372" s="12"/>
      <c r="R1372" s="12"/>
      <c r="S1372" s="12"/>
      <c r="T1372" s="12"/>
      <c r="U1372" s="12"/>
      <c r="V1372" s="12"/>
      <c r="W1372" s="12"/>
      <c r="X1372" s="12"/>
      <c r="Y1372" s="12"/>
      <c r="Z1372" s="12"/>
      <c r="AA1372" s="12"/>
      <c r="AB1372" s="12"/>
      <c r="AC1372" s="12"/>
      <c r="AD1372" s="12"/>
      <c r="AE1372" s="11"/>
    </row>
    <row r="1373" spans="2:31" ht="15">
      <c r="B1373" s="11"/>
      <c r="C1373" s="11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  <c r="AA1373" s="12"/>
      <c r="AB1373" s="12"/>
      <c r="AC1373" s="12"/>
      <c r="AD1373" s="12"/>
      <c r="AE1373" s="11"/>
    </row>
    <row r="1374" spans="2:31" ht="15">
      <c r="B1374" s="11"/>
      <c r="C1374" s="11"/>
      <c r="P1374" s="12"/>
      <c r="Q1374" s="12"/>
      <c r="R1374" s="12"/>
      <c r="S1374" s="12"/>
      <c r="T1374" s="12"/>
      <c r="U1374" s="12"/>
      <c r="V1374" s="12"/>
      <c r="W1374" s="12"/>
      <c r="X1374" s="12"/>
      <c r="Y1374" s="12"/>
      <c r="Z1374" s="12"/>
      <c r="AA1374" s="12"/>
      <c r="AB1374" s="12"/>
      <c r="AC1374" s="12"/>
      <c r="AD1374" s="12"/>
      <c r="AE1374" s="11"/>
    </row>
    <row r="1375" spans="2:31" ht="15">
      <c r="B1375" s="11"/>
      <c r="C1375" s="11"/>
      <c r="P1375" s="12"/>
      <c r="Q1375" s="12"/>
      <c r="R1375" s="12"/>
      <c r="S1375" s="12"/>
      <c r="T1375" s="12"/>
      <c r="U1375" s="12"/>
      <c r="V1375" s="12"/>
      <c r="W1375" s="12"/>
      <c r="X1375" s="12"/>
      <c r="Y1375" s="12"/>
      <c r="Z1375" s="12"/>
      <c r="AA1375" s="12"/>
      <c r="AB1375" s="12"/>
      <c r="AC1375" s="12"/>
      <c r="AD1375" s="12"/>
      <c r="AE1375" s="11"/>
    </row>
    <row r="1376" spans="2:31" ht="15">
      <c r="B1376" s="11"/>
      <c r="C1376" s="11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  <c r="AA1376" s="12"/>
      <c r="AB1376" s="12"/>
      <c r="AC1376" s="12"/>
      <c r="AD1376" s="12"/>
      <c r="AE1376" s="11"/>
    </row>
    <row r="1377" spans="2:31" ht="15">
      <c r="B1377" s="11"/>
      <c r="C1377" s="11"/>
      <c r="P1377" s="12"/>
      <c r="Q1377" s="12"/>
      <c r="R1377" s="12"/>
      <c r="S1377" s="12"/>
      <c r="T1377" s="12"/>
      <c r="U1377" s="12"/>
      <c r="V1377" s="12"/>
      <c r="W1377" s="12"/>
      <c r="X1377" s="12"/>
      <c r="Y1377" s="12"/>
      <c r="Z1377" s="12"/>
      <c r="AA1377" s="12"/>
      <c r="AB1377" s="12"/>
      <c r="AC1377" s="12"/>
      <c r="AD1377" s="12"/>
      <c r="AE1377" s="11"/>
    </row>
    <row r="1378" spans="2:31" ht="15">
      <c r="B1378" s="11"/>
      <c r="C1378" s="11"/>
      <c r="P1378" s="12"/>
      <c r="Q1378" s="12"/>
      <c r="R1378" s="12"/>
      <c r="S1378" s="12"/>
      <c r="T1378" s="12"/>
      <c r="U1378" s="12"/>
      <c r="V1378" s="12"/>
      <c r="W1378" s="12"/>
      <c r="X1378" s="12"/>
      <c r="Y1378" s="12"/>
      <c r="Z1378" s="12"/>
      <c r="AA1378" s="12"/>
      <c r="AB1378" s="12"/>
      <c r="AC1378" s="12"/>
      <c r="AD1378" s="12"/>
      <c r="AE1378" s="11"/>
    </row>
    <row r="1379" spans="2:31" ht="15">
      <c r="B1379" s="11"/>
      <c r="C1379" s="11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  <c r="AA1379" s="12"/>
      <c r="AB1379" s="12"/>
      <c r="AC1379" s="12"/>
      <c r="AD1379" s="12"/>
      <c r="AE1379" s="11"/>
    </row>
    <row r="1380" spans="2:31" ht="15">
      <c r="B1380" s="11"/>
      <c r="C1380" s="11"/>
      <c r="P1380" s="12"/>
      <c r="Q1380" s="12"/>
      <c r="R1380" s="12"/>
      <c r="S1380" s="12"/>
      <c r="T1380" s="12"/>
      <c r="U1380" s="12"/>
      <c r="V1380" s="12"/>
      <c r="W1380" s="12"/>
      <c r="X1380" s="12"/>
      <c r="Y1380" s="12"/>
      <c r="Z1380" s="12"/>
      <c r="AA1380" s="12"/>
      <c r="AB1380" s="12"/>
      <c r="AC1380" s="12"/>
      <c r="AD1380" s="12"/>
      <c r="AE1380" s="11"/>
    </row>
    <row r="1381" spans="2:31" ht="15">
      <c r="B1381" s="11"/>
      <c r="C1381" s="11"/>
      <c r="P1381" s="12"/>
      <c r="Q1381" s="12"/>
      <c r="R1381" s="12"/>
      <c r="S1381" s="12"/>
      <c r="T1381" s="12"/>
      <c r="U1381" s="12"/>
      <c r="V1381" s="12"/>
      <c r="W1381" s="12"/>
      <c r="X1381" s="12"/>
      <c r="Y1381" s="12"/>
      <c r="Z1381" s="12"/>
      <c r="AA1381" s="12"/>
      <c r="AB1381" s="12"/>
      <c r="AC1381" s="12"/>
      <c r="AD1381" s="12"/>
      <c r="AE1381" s="11"/>
    </row>
    <row r="1382" spans="2:31" ht="15">
      <c r="B1382" s="11"/>
      <c r="C1382" s="11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  <c r="AA1382" s="12"/>
      <c r="AB1382" s="12"/>
      <c r="AC1382" s="12"/>
      <c r="AD1382" s="12"/>
      <c r="AE1382" s="11"/>
    </row>
    <row r="1383" spans="2:31" ht="15">
      <c r="B1383" s="11"/>
      <c r="C1383" s="11"/>
      <c r="P1383" s="12"/>
      <c r="Q1383" s="12"/>
      <c r="R1383" s="12"/>
      <c r="S1383" s="12"/>
      <c r="T1383" s="12"/>
      <c r="U1383" s="12"/>
      <c r="V1383" s="12"/>
      <c r="W1383" s="12"/>
      <c r="X1383" s="12"/>
      <c r="Y1383" s="12"/>
      <c r="Z1383" s="12"/>
      <c r="AA1383" s="12"/>
      <c r="AB1383" s="12"/>
      <c r="AC1383" s="12"/>
      <c r="AD1383" s="12"/>
      <c r="AE1383" s="11"/>
    </row>
    <row r="1384" spans="2:31" ht="15">
      <c r="B1384" s="11"/>
      <c r="C1384" s="11"/>
      <c r="P1384" s="12"/>
      <c r="Q1384" s="12"/>
      <c r="R1384" s="12"/>
      <c r="S1384" s="12"/>
      <c r="T1384" s="12"/>
      <c r="U1384" s="12"/>
      <c r="V1384" s="12"/>
      <c r="W1384" s="12"/>
      <c r="X1384" s="12"/>
      <c r="Y1384" s="12"/>
      <c r="Z1384" s="12"/>
      <c r="AA1384" s="12"/>
      <c r="AB1384" s="12"/>
      <c r="AC1384" s="12"/>
      <c r="AD1384" s="12"/>
      <c r="AE1384" s="11"/>
    </row>
    <row r="1385" spans="2:31" ht="15">
      <c r="B1385" s="11"/>
      <c r="C1385" s="11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12"/>
      <c r="AB1385" s="12"/>
      <c r="AC1385" s="12"/>
      <c r="AD1385" s="12"/>
      <c r="AE1385" s="11"/>
    </row>
    <row r="1386" spans="2:31" ht="15">
      <c r="B1386" s="11"/>
      <c r="C1386" s="11"/>
      <c r="P1386" s="12"/>
      <c r="Q1386" s="12"/>
      <c r="R1386" s="12"/>
      <c r="S1386" s="12"/>
      <c r="T1386" s="12"/>
      <c r="U1386" s="12"/>
      <c r="V1386" s="12"/>
      <c r="W1386" s="12"/>
      <c r="X1386" s="12"/>
      <c r="Y1386" s="12"/>
      <c r="Z1386" s="12"/>
      <c r="AA1386" s="12"/>
      <c r="AB1386" s="12"/>
      <c r="AC1386" s="12"/>
      <c r="AD1386" s="12"/>
      <c r="AE1386" s="11"/>
    </row>
    <row r="1387" spans="2:31" ht="15">
      <c r="B1387" s="11"/>
      <c r="C1387" s="11"/>
      <c r="P1387" s="12"/>
      <c r="Q1387" s="12"/>
      <c r="R1387" s="12"/>
      <c r="S1387" s="12"/>
      <c r="T1387" s="12"/>
      <c r="U1387" s="12"/>
      <c r="V1387" s="12"/>
      <c r="W1387" s="12"/>
      <c r="X1387" s="12"/>
      <c r="Y1387" s="12"/>
      <c r="Z1387" s="12"/>
      <c r="AA1387" s="12"/>
      <c r="AB1387" s="12"/>
      <c r="AC1387" s="12"/>
      <c r="AD1387" s="12"/>
      <c r="AE1387" s="11"/>
    </row>
    <row r="1388" spans="2:31" ht="15">
      <c r="B1388" s="11"/>
      <c r="C1388" s="11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  <c r="AA1388" s="12"/>
      <c r="AB1388" s="12"/>
      <c r="AC1388" s="12"/>
      <c r="AD1388" s="12"/>
      <c r="AE1388" s="11"/>
    </row>
    <row r="1389" spans="2:31" ht="15">
      <c r="B1389" s="11"/>
      <c r="C1389" s="11"/>
      <c r="P1389" s="12"/>
      <c r="Q1389" s="12"/>
      <c r="R1389" s="12"/>
      <c r="S1389" s="12"/>
      <c r="T1389" s="12"/>
      <c r="U1389" s="12"/>
      <c r="V1389" s="12"/>
      <c r="W1389" s="12"/>
      <c r="X1389" s="12"/>
      <c r="Y1389" s="12"/>
      <c r="Z1389" s="12"/>
      <c r="AA1389" s="12"/>
      <c r="AB1389" s="12"/>
      <c r="AC1389" s="12"/>
      <c r="AD1389" s="12"/>
      <c r="AE1389" s="11"/>
    </row>
    <row r="1390" spans="2:31" ht="15">
      <c r="B1390" s="11"/>
      <c r="C1390" s="11"/>
      <c r="P1390" s="12"/>
      <c r="Q1390" s="12"/>
      <c r="R1390" s="12"/>
      <c r="S1390" s="12"/>
      <c r="T1390" s="12"/>
      <c r="U1390" s="12"/>
      <c r="V1390" s="12"/>
      <c r="W1390" s="12"/>
      <c r="X1390" s="12"/>
      <c r="Y1390" s="12"/>
      <c r="Z1390" s="12"/>
      <c r="AA1390" s="12"/>
      <c r="AB1390" s="12"/>
      <c r="AC1390" s="12"/>
      <c r="AD1390" s="12"/>
      <c r="AE1390" s="11"/>
    </row>
    <row r="1391" spans="2:31" ht="15">
      <c r="B1391" s="11"/>
      <c r="C1391" s="11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  <c r="AA1391" s="12"/>
      <c r="AB1391" s="12"/>
      <c r="AC1391" s="12"/>
      <c r="AD1391" s="12"/>
      <c r="AE1391" s="11"/>
    </row>
    <row r="1392" spans="2:31" ht="15">
      <c r="B1392" s="11"/>
      <c r="C1392" s="11"/>
      <c r="P1392" s="12"/>
      <c r="Q1392" s="12"/>
      <c r="R1392" s="12"/>
      <c r="S1392" s="12"/>
      <c r="T1392" s="12"/>
      <c r="U1392" s="12"/>
      <c r="V1392" s="12"/>
      <c r="W1392" s="12"/>
      <c r="X1392" s="12"/>
      <c r="Y1392" s="12"/>
      <c r="Z1392" s="12"/>
      <c r="AA1392" s="12"/>
      <c r="AB1392" s="12"/>
      <c r="AC1392" s="12"/>
      <c r="AD1392" s="12"/>
      <c r="AE1392" s="11"/>
    </row>
    <row r="1393" spans="2:31" ht="15">
      <c r="B1393" s="11"/>
      <c r="C1393" s="11"/>
      <c r="P1393" s="12"/>
      <c r="Q1393" s="12"/>
      <c r="R1393" s="12"/>
      <c r="S1393" s="12"/>
      <c r="T1393" s="12"/>
      <c r="U1393" s="12"/>
      <c r="V1393" s="12"/>
      <c r="W1393" s="12"/>
      <c r="X1393" s="12"/>
      <c r="Y1393" s="12"/>
      <c r="Z1393" s="12"/>
      <c r="AA1393" s="12"/>
      <c r="AB1393" s="12"/>
      <c r="AC1393" s="12"/>
      <c r="AD1393" s="12"/>
      <c r="AE1393" s="11"/>
    </row>
    <row r="1394" spans="2:31" ht="15">
      <c r="B1394" s="11"/>
      <c r="C1394" s="11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12"/>
      <c r="AB1394" s="12"/>
      <c r="AC1394" s="12"/>
      <c r="AD1394" s="12"/>
      <c r="AE1394" s="11"/>
    </row>
    <row r="1395" spans="2:31" ht="15">
      <c r="B1395" s="11"/>
      <c r="C1395" s="11"/>
      <c r="P1395" s="12"/>
      <c r="Q1395" s="12"/>
      <c r="R1395" s="12"/>
      <c r="S1395" s="12"/>
      <c r="T1395" s="12"/>
      <c r="U1395" s="12"/>
      <c r="V1395" s="12"/>
      <c r="W1395" s="12"/>
      <c r="X1395" s="12"/>
      <c r="Y1395" s="12"/>
      <c r="Z1395" s="12"/>
      <c r="AA1395" s="12"/>
      <c r="AB1395" s="12"/>
      <c r="AC1395" s="12"/>
      <c r="AD1395" s="12"/>
      <c r="AE1395" s="11"/>
    </row>
    <row r="1396" spans="2:31" ht="15">
      <c r="B1396" s="11"/>
      <c r="C1396" s="11"/>
      <c r="P1396" s="12"/>
      <c r="Q1396" s="12"/>
      <c r="R1396" s="12"/>
      <c r="S1396" s="12"/>
      <c r="T1396" s="12"/>
      <c r="U1396" s="12"/>
      <c r="V1396" s="12"/>
      <c r="W1396" s="12"/>
      <c r="X1396" s="12"/>
      <c r="Y1396" s="12"/>
      <c r="Z1396" s="12"/>
      <c r="AA1396" s="12"/>
      <c r="AB1396" s="12"/>
      <c r="AC1396" s="12"/>
      <c r="AD1396" s="12"/>
      <c r="AE1396" s="11"/>
    </row>
    <row r="1397" spans="2:31" ht="15">
      <c r="B1397" s="11"/>
      <c r="C1397" s="11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  <c r="AA1397" s="12"/>
      <c r="AB1397" s="12"/>
      <c r="AC1397" s="12"/>
      <c r="AD1397" s="12"/>
      <c r="AE1397" s="11"/>
    </row>
    <row r="1398" spans="2:31" ht="15">
      <c r="B1398" s="11"/>
      <c r="C1398" s="11"/>
      <c r="P1398" s="12"/>
      <c r="Q1398" s="12"/>
      <c r="R1398" s="12"/>
      <c r="S1398" s="12"/>
      <c r="T1398" s="12"/>
      <c r="U1398" s="12"/>
      <c r="V1398" s="12"/>
      <c r="W1398" s="12"/>
      <c r="X1398" s="12"/>
      <c r="Y1398" s="12"/>
      <c r="Z1398" s="12"/>
      <c r="AA1398" s="12"/>
      <c r="AB1398" s="12"/>
      <c r="AC1398" s="12"/>
      <c r="AD1398" s="12"/>
      <c r="AE1398" s="11"/>
    </row>
    <row r="1399" spans="2:31" ht="15">
      <c r="B1399" s="11"/>
      <c r="C1399" s="11"/>
      <c r="P1399" s="12"/>
      <c r="Q1399" s="12"/>
      <c r="R1399" s="12"/>
      <c r="S1399" s="12"/>
      <c r="T1399" s="12"/>
      <c r="U1399" s="12"/>
      <c r="V1399" s="12"/>
      <c r="W1399" s="12"/>
      <c r="X1399" s="12"/>
      <c r="Y1399" s="12"/>
      <c r="Z1399" s="12"/>
      <c r="AA1399" s="12"/>
      <c r="AB1399" s="12"/>
      <c r="AC1399" s="12"/>
      <c r="AD1399" s="12"/>
      <c r="AE1399" s="11"/>
    </row>
    <row r="1400" spans="2:31" ht="15">
      <c r="B1400" s="11"/>
      <c r="C1400" s="11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  <c r="AA1400" s="12"/>
      <c r="AB1400" s="12"/>
      <c r="AC1400" s="12"/>
      <c r="AD1400" s="12"/>
      <c r="AE1400" s="11"/>
    </row>
    <row r="1401" spans="2:31" ht="15">
      <c r="B1401" s="11"/>
      <c r="C1401" s="11"/>
      <c r="P1401" s="12"/>
      <c r="Q1401" s="12"/>
      <c r="R1401" s="12"/>
      <c r="S1401" s="12"/>
      <c r="T1401" s="12"/>
      <c r="U1401" s="12"/>
      <c r="V1401" s="12"/>
      <c r="W1401" s="12"/>
      <c r="X1401" s="12"/>
      <c r="Y1401" s="12"/>
      <c r="Z1401" s="12"/>
      <c r="AA1401" s="12"/>
      <c r="AB1401" s="12"/>
      <c r="AC1401" s="12"/>
      <c r="AD1401" s="12"/>
      <c r="AE1401" s="11"/>
    </row>
    <row r="1402" spans="2:31" ht="15">
      <c r="B1402" s="11"/>
      <c r="C1402" s="11"/>
      <c r="P1402" s="12"/>
      <c r="Q1402" s="12"/>
      <c r="R1402" s="12"/>
      <c r="S1402" s="12"/>
      <c r="T1402" s="12"/>
      <c r="U1402" s="12"/>
      <c r="V1402" s="12"/>
      <c r="W1402" s="12"/>
      <c r="X1402" s="12"/>
      <c r="Y1402" s="12"/>
      <c r="Z1402" s="12"/>
      <c r="AA1402" s="12"/>
      <c r="AB1402" s="12"/>
      <c r="AC1402" s="12"/>
      <c r="AD1402" s="12"/>
      <c r="AE1402" s="11"/>
    </row>
    <row r="1403" spans="2:31" ht="15">
      <c r="B1403" s="11"/>
      <c r="C1403" s="11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  <c r="AA1403" s="12"/>
      <c r="AB1403" s="12"/>
      <c r="AC1403" s="12"/>
      <c r="AD1403" s="12"/>
      <c r="AE1403" s="11"/>
    </row>
    <row r="1404" spans="2:31" ht="15">
      <c r="B1404" s="11"/>
      <c r="C1404" s="11"/>
      <c r="P1404" s="12"/>
      <c r="Q1404" s="12"/>
      <c r="R1404" s="12"/>
      <c r="S1404" s="12"/>
      <c r="T1404" s="12"/>
      <c r="U1404" s="12"/>
      <c r="V1404" s="12"/>
      <c r="W1404" s="12"/>
      <c r="X1404" s="12"/>
      <c r="Y1404" s="12"/>
      <c r="Z1404" s="12"/>
      <c r="AA1404" s="12"/>
      <c r="AB1404" s="12"/>
      <c r="AC1404" s="12"/>
      <c r="AD1404" s="12"/>
      <c r="AE1404" s="11"/>
    </row>
    <row r="1405" spans="2:31" ht="15">
      <c r="B1405" s="11"/>
      <c r="C1405" s="11"/>
      <c r="P1405" s="12"/>
      <c r="Q1405" s="12"/>
      <c r="R1405" s="12"/>
      <c r="S1405" s="12"/>
      <c r="T1405" s="12"/>
      <c r="U1405" s="12"/>
      <c r="V1405" s="12"/>
      <c r="W1405" s="12"/>
      <c r="X1405" s="12"/>
      <c r="Y1405" s="12"/>
      <c r="Z1405" s="12"/>
      <c r="AA1405" s="12"/>
      <c r="AB1405" s="12"/>
      <c r="AC1405" s="12"/>
      <c r="AD1405" s="12"/>
      <c r="AE1405" s="11"/>
    </row>
    <row r="1406" spans="2:31" ht="15">
      <c r="B1406" s="11"/>
      <c r="C1406" s="11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  <c r="AA1406" s="12"/>
      <c r="AB1406" s="12"/>
      <c r="AC1406" s="12"/>
      <c r="AD1406" s="12"/>
      <c r="AE1406" s="11"/>
    </row>
    <row r="1407" spans="2:31" ht="15">
      <c r="B1407" s="11"/>
      <c r="C1407" s="11"/>
      <c r="P1407" s="12"/>
      <c r="Q1407" s="12"/>
      <c r="R1407" s="12"/>
      <c r="S1407" s="12"/>
      <c r="T1407" s="12"/>
      <c r="U1407" s="12"/>
      <c r="V1407" s="12"/>
      <c r="W1407" s="12"/>
      <c r="X1407" s="12"/>
      <c r="Y1407" s="12"/>
      <c r="Z1407" s="12"/>
      <c r="AA1407" s="12"/>
      <c r="AB1407" s="12"/>
      <c r="AC1407" s="12"/>
      <c r="AD1407" s="12"/>
      <c r="AE1407" s="11"/>
    </row>
    <row r="1408" spans="2:31" ht="15">
      <c r="B1408" s="11"/>
      <c r="C1408" s="11"/>
      <c r="P1408" s="12"/>
      <c r="Q1408" s="12"/>
      <c r="R1408" s="12"/>
      <c r="S1408" s="12"/>
      <c r="T1408" s="12"/>
      <c r="U1408" s="12"/>
      <c r="V1408" s="12"/>
      <c r="W1408" s="12"/>
      <c r="X1408" s="12"/>
      <c r="Y1408" s="12"/>
      <c r="Z1408" s="12"/>
      <c r="AA1408" s="12"/>
      <c r="AB1408" s="12"/>
      <c r="AC1408" s="12"/>
      <c r="AD1408" s="12"/>
      <c r="AE1408" s="11"/>
    </row>
    <row r="1409" spans="2:31" ht="15">
      <c r="B1409" s="11"/>
      <c r="C1409" s="11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  <c r="AA1409" s="12"/>
      <c r="AB1409" s="12"/>
      <c r="AC1409" s="12"/>
      <c r="AD1409" s="12"/>
      <c r="AE1409" s="11"/>
    </row>
    <row r="1410" spans="2:31" ht="15">
      <c r="B1410" s="11"/>
      <c r="C1410" s="11"/>
      <c r="P1410" s="12"/>
      <c r="Q1410" s="12"/>
      <c r="R1410" s="12"/>
      <c r="S1410" s="12"/>
      <c r="T1410" s="12"/>
      <c r="U1410" s="12"/>
      <c r="V1410" s="12"/>
      <c r="W1410" s="12"/>
      <c r="X1410" s="12"/>
      <c r="Y1410" s="12"/>
      <c r="Z1410" s="12"/>
      <c r="AA1410" s="12"/>
      <c r="AB1410" s="12"/>
      <c r="AC1410" s="12"/>
      <c r="AD1410" s="12"/>
      <c r="AE1410" s="11"/>
    </row>
    <row r="1411" spans="2:31" ht="15">
      <c r="B1411" s="11"/>
      <c r="C1411" s="11"/>
      <c r="P1411" s="12"/>
      <c r="Q1411" s="12"/>
      <c r="R1411" s="12"/>
      <c r="S1411" s="12"/>
      <c r="T1411" s="12"/>
      <c r="U1411" s="12"/>
      <c r="V1411" s="12"/>
      <c r="W1411" s="12"/>
      <c r="X1411" s="12"/>
      <c r="Y1411" s="12"/>
      <c r="Z1411" s="12"/>
      <c r="AA1411" s="12"/>
      <c r="AB1411" s="12"/>
      <c r="AC1411" s="12"/>
      <c r="AD1411" s="12"/>
      <c r="AE1411" s="11"/>
    </row>
    <row r="1412" spans="2:31" ht="15">
      <c r="B1412" s="11"/>
      <c r="C1412" s="11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1"/>
    </row>
    <row r="1413" spans="2:31" ht="15">
      <c r="B1413" s="11"/>
      <c r="C1413" s="11"/>
      <c r="P1413" s="12"/>
      <c r="Q1413" s="12"/>
      <c r="R1413" s="12"/>
      <c r="S1413" s="12"/>
      <c r="T1413" s="12"/>
      <c r="U1413" s="12"/>
      <c r="V1413" s="12"/>
      <c r="W1413" s="12"/>
      <c r="X1413" s="12"/>
      <c r="Y1413" s="12"/>
      <c r="Z1413" s="12"/>
      <c r="AA1413" s="12"/>
      <c r="AB1413" s="12"/>
      <c r="AC1413" s="12"/>
      <c r="AD1413" s="12"/>
      <c r="AE1413" s="11"/>
    </row>
    <row r="1414" spans="2:31" ht="15">
      <c r="B1414" s="11"/>
      <c r="C1414" s="11"/>
      <c r="P1414" s="12"/>
      <c r="Q1414" s="12"/>
      <c r="R1414" s="12"/>
      <c r="S1414" s="12"/>
      <c r="T1414" s="12"/>
      <c r="U1414" s="12"/>
      <c r="V1414" s="12"/>
      <c r="W1414" s="12"/>
      <c r="X1414" s="12"/>
      <c r="Y1414" s="12"/>
      <c r="Z1414" s="12"/>
      <c r="AA1414" s="12"/>
      <c r="AB1414" s="12"/>
      <c r="AC1414" s="12"/>
      <c r="AD1414" s="12"/>
      <c r="AE1414" s="11"/>
    </row>
    <row r="1415" spans="2:31" ht="15">
      <c r="B1415" s="11"/>
      <c r="C1415" s="11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  <c r="AA1415" s="12"/>
      <c r="AB1415" s="12"/>
      <c r="AC1415" s="12"/>
      <c r="AD1415" s="12"/>
      <c r="AE1415" s="11"/>
    </row>
    <row r="1416" spans="2:31" ht="15">
      <c r="B1416" s="11"/>
      <c r="C1416" s="11"/>
      <c r="P1416" s="12"/>
      <c r="Q1416" s="12"/>
      <c r="R1416" s="12"/>
      <c r="S1416" s="12"/>
      <c r="T1416" s="12"/>
      <c r="U1416" s="12"/>
      <c r="V1416" s="12"/>
      <c r="W1416" s="12"/>
      <c r="X1416" s="12"/>
      <c r="Y1416" s="12"/>
      <c r="Z1416" s="12"/>
      <c r="AA1416" s="12"/>
      <c r="AB1416" s="12"/>
      <c r="AC1416" s="12"/>
      <c r="AD1416" s="12"/>
      <c r="AE1416" s="11"/>
    </row>
    <row r="1417" spans="2:31" ht="15">
      <c r="B1417" s="11"/>
      <c r="C1417" s="11"/>
      <c r="P1417" s="12"/>
      <c r="Q1417" s="12"/>
      <c r="R1417" s="12"/>
      <c r="S1417" s="12"/>
      <c r="T1417" s="12"/>
      <c r="U1417" s="12"/>
      <c r="V1417" s="12"/>
      <c r="W1417" s="12"/>
      <c r="X1417" s="12"/>
      <c r="Y1417" s="12"/>
      <c r="Z1417" s="12"/>
      <c r="AA1417" s="12"/>
      <c r="AB1417" s="12"/>
      <c r="AC1417" s="12"/>
      <c r="AD1417" s="12"/>
      <c r="AE1417" s="11"/>
    </row>
    <row r="1418" spans="2:31" ht="15">
      <c r="B1418" s="11"/>
      <c r="C1418" s="11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  <c r="AA1418" s="12"/>
      <c r="AB1418" s="12"/>
      <c r="AC1418" s="12"/>
      <c r="AD1418" s="12"/>
      <c r="AE1418" s="11"/>
    </row>
    <row r="1419" spans="2:31" ht="15">
      <c r="B1419" s="11"/>
      <c r="C1419" s="11"/>
      <c r="P1419" s="12"/>
      <c r="Q1419" s="12"/>
      <c r="R1419" s="12"/>
      <c r="S1419" s="12"/>
      <c r="T1419" s="12"/>
      <c r="U1419" s="12"/>
      <c r="V1419" s="12"/>
      <c r="W1419" s="12"/>
      <c r="X1419" s="12"/>
      <c r="Y1419" s="12"/>
      <c r="Z1419" s="12"/>
      <c r="AA1419" s="12"/>
      <c r="AB1419" s="12"/>
      <c r="AC1419" s="12"/>
      <c r="AD1419" s="12"/>
      <c r="AE1419" s="11"/>
    </row>
    <row r="1420" spans="2:31" ht="15">
      <c r="B1420" s="11"/>
      <c r="C1420" s="11"/>
      <c r="P1420" s="12"/>
      <c r="Q1420" s="12"/>
      <c r="R1420" s="12"/>
      <c r="S1420" s="12"/>
      <c r="T1420" s="12"/>
      <c r="U1420" s="12"/>
      <c r="V1420" s="12"/>
      <c r="W1420" s="12"/>
      <c r="X1420" s="12"/>
      <c r="Y1420" s="12"/>
      <c r="Z1420" s="12"/>
      <c r="AA1420" s="12"/>
      <c r="AB1420" s="12"/>
      <c r="AC1420" s="12"/>
      <c r="AD1420" s="12"/>
      <c r="AE1420" s="11"/>
    </row>
    <row r="1421" spans="2:31" ht="15">
      <c r="B1421" s="11"/>
      <c r="C1421" s="11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  <c r="AA1421" s="12"/>
      <c r="AB1421" s="12"/>
      <c r="AC1421" s="12"/>
      <c r="AD1421" s="12"/>
      <c r="AE1421" s="11"/>
    </row>
    <row r="1422" spans="2:31" ht="15">
      <c r="B1422" s="11"/>
      <c r="C1422" s="11"/>
      <c r="P1422" s="12"/>
      <c r="Q1422" s="12"/>
      <c r="R1422" s="12"/>
      <c r="S1422" s="12"/>
      <c r="T1422" s="12"/>
      <c r="U1422" s="12"/>
      <c r="V1422" s="12"/>
      <c r="W1422" s="12"/>
      <c r="X1422" s="12"/>
      <c r="Y1422" s="12"/>
      <c r="Z1422" s="12"/>
      <c r="AA1422" s="12"/>
      <c r="AB1422" s="12"/>
      <c r="AC1422" s="12"/>
      <c r="AD1422" s="12"/>
      <c r="AE1422" s="11"/>
    </row>
    <row r="1423" spans="2:31" ht="15">
      <c r="B1423" s="11"/>
      <c r="C1423" s="11"/>
      <c r="P1423" s="12"/>
      <c r="Q1423" s="12"/>
      <c r="R1423" s="12"/>
      <c r="S1423" s="12"/>
      <c r="T1423" s="12"/>
      <c r="U1423" s="12"/>
      <c r="V1423" s="12"/>
      <c r="W1423" s="12"/>
      <c r="X1423" s="12"/>
      <c r="Y1423" s="12"/>
      <c r="Z1423" s="12"/>
      <c r="AA1423" s="12"/>
      <c r="AB1423" s="12"/>
      <c r="AC1423" s="12"/>
      <c r="AD1423" s="12"/>
      <c r="AE1423" s="11"/>
    </row>
    <row r="1424" spans="2:31" ht="15">
      <c r="B1424" s="11"/>
      <c r="C1424" s="11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  <c r="AA1424" s="12"/>
      <c r="AB1424" s="12"/>
      <c r="AC1424" s="12"/>
      <c r="AD1424" s="12"/>
      <c r="AE1424" s="11"/>
    </row>
    <row r="1425" spans="2:31" ht="15">
      <c r="B1425" s="11"/>
      <c r="C1425" s="11"/>
      <c r="P1425" s="12"/>
      <c r="Q1425" s="12"/>
      <c r="R1425" s="12"/>
      <c r="S1425" s="12"/>
      <c r="T1425" s="12"/>
      <c r="U1425" s="12"/>
      <c r="V1425" s="12"/>
      <c r="W1425" s="12"/>
      <c r="X1425" s="12"/>
      <c r="Y1425" s="12"/>
      <c r="Z1425" s="12"/>
      <c r="AA1425" s="12"/>
      <c r="AB1425" s="12"/>
      <c r="AC1425" s="12"/>
      <c r="AD1425" s="12"/>
      <c r="AE1425" s="11"/>
    </row>
    <row r="1426" spans="2:31" ht="15">
      <c r="B1426" s="11"/>
      <c r="C1426" s="11"/>
      <c r="P1426" s="12"/>
      <c r="Q1426" s="12"/>
      <c r="R1426" s="12"/>
      <c r="S1426" s="12"/>
      <c r="T1426" s="12"/>
      <c r="U1426" s="12"/>
      <c r="V1426" s="12"/>
      <c r="W1426" s="12"/>
      <c r="X1426" s="12"/>
      <c r="Y1426" s="12"/>
      <c r="Z1426" s="12"/>
      <c r="AA1426" s="12"/>
      <c r="AB1426" s="12"/>
      <c r="AC1426" s="12"/>
      <c r="AD1426" s="12"/>
      <c r="AE1426" s="11"/>
    </row>
    <row r="1427" spans="2:31" ht="15">
      <c r="B1427" s="11"/>
      <c r="C1427" s="11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  <c r="AA1427" s="12"/>
      <c r="AB1427" s="12"/>
      <c r="AC1427" s="12"/>
      <c r="AD1427" s="12"/>
      <c r="AE1427" s="11"/>
    </row>
    <row r="1428" spans="2:31" ht="15">
      <c r="B1428" s="11"/>
      <c r="C1428" s="11"/>
      <c r="P1428" s="12"/>
      <c r="Q1428" s="12"/>
      <c r="R1428" s="12"/>
      <c r="S1428" s="12"/>
      <c r="T1428" s="12"/>
      <c r="U1428" s="12"/>
      <c r="V1428" s="12"/>
      <c r="W1428" s="12"/>
      <c r="X1428" s="12"/>
      <c r="Y1428" s="12"/>
      <c r="Z1428" s="12"/>
      <c r="AA1428" s="12"/>
      <c r="AB1428" s="12"/>
      <c r="AC1428" s="12"/>
      <c r="AD1428" s="12"/>
      <c r="AE1428" s="11"/>
    </row>
    <row r="1429" spans="2:31" ht="15">
      <c r="B1429" s="11"/>
      <c r="C1429" s="11"/>
      <c r="P1429" s="12"/>
      <c r="Q1429" s="12"/>
      <c r="R1429" s="12"/>
      <c r="S1429" s="12"/>
      <c r="T1429" s="12"/>
      <c r="U1429" s="12"/>
      <c r="V1429" s="12"/>
      <c r="W1429" s="12"/>
      <c r="X1429" s="12"/>
      <c r="Y1429" s="12"/>
      <c r="Z1429" s="12"/>
      <c r="AA1429" s="12"/>
      <c r="AB1429" s="12"/>
      <c r="AC1429" s="12"/>
      <c r="AD1429" s="12"/>
      <c r="AE1429" s="11"/>
    </row>
    <row r="1430" spans="2:31" ht="15">
      <c r="B1430" s="11"/>
      <c r="C1430" s="11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  <c r="AA1430" s="12"/>
      <c r="AB1430" s="12"/>
      <c r="AC1430" s="12"/>
      <c r="AD1430" s="12"/>
      <c r="AE1430" s="11"/>
    </row>
    <row r="1431" spans="2:31" ht="15">
      <c r="B1431" s="11"/>
      <c r="C1431" s="11"/>
      <c r="P1431" s="12"/>
      <c r="Q1431" s="12"/>
      <c r="R1431" s="12"/>
      <c r="S1431" s="12"/>
      <c r="T1431" s="12"/>
      <c r="U1431" s="12"/>
      <c r="V1431" s="12"/>
      <c r="W1431" s="12"/>
      <c r="X1431" s="12"/>
      <c r="Y1431" s="12"/>
      <c r="Z1431" s="12"/>
      <c r="AA1431" s="12"/>
      <c r="AB1431" s="12"/>
      <c r="AC1431" s="12"/>
      <c r="AD1431" s="12"/>
      <c r="AE1431" s="11"/>
    </row>
    <row r="1432" spans="2:31" ht="15">
      <c r="B1432" s="11"/>
      <c r="C1432" s="11"/>
      <c r="P1432" s="12"/>
      <c r="Q1432" s="12"/>
      <c r="R1432" s="12"/>
      <c r="S1432" s="12"/>
      <c r="T1432" s="12"/>
      <c r="U1432" s="12"/>
      <c r="V1432" s="12"/>
      <c r="W1432" s="12"/>
      <c r="X1432" s="12"/>
      <c r="Y1432" s="12"/>
      <c r="Z1432" s="12"/>
      <c r="AA1432" s="12"/>
      <c r="AB1432" s="12"/>
      <c r="AC1432" s="12"/>
      <c r="AD1432" s="12"/>
      <c r="AE1432" s="11"/>
    </row>
    <row r="1433" spans="2:31" ht="15">
      <c r="B1433" s="11"/>
      <c r="C1433" s="11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  <c r="AA1433" s="12"/>
      <c r="AB1433" s="12"/>
      <c r="AC1433" s="12"/>
      <c r="AD1433" s="12"/>
      <c r="AE1433" s="11"/>
    </row>
    <row r="1434" spans="2:31" ht="15">
      <c r="B1434" s="11"/>
      <c r="C1434" s="11"/>
      <c r="P1434" s="12"/>
      <c r="Q1434" s="12"/>
      <c r="R1434" s="12"/>
      <c r="S1434" s="12"/>
      <c r="T1434" s="12"/>
      <c r="U1434" s="12"/>
      <c r="V1434" s="12"/>
      <c r="W1434" s="12"/>
      <c r="X1434" s="12"/>
      <c r="Y1434" s="12"/>
      <c r="Z1434" s="12"/>
      <c r="AA1434" s="12"/>
      <c r="AB1434" s="12"/>
      <c r="AC1434" s="12"/>
      <c r="AD1434" s="12"/>
      <c r="AE1434" s="11"/>
    </row>
    <row r="1435" spans="2:31" ht="15">
      <c r="B1435" s="11"/>
      <c r="C1435" s="11"/>
      <c r="P1435" s="12"/>
      <c r="Q1435" s="12"/>
      <c r="R1435" s="12"/>
      <c r="S1435" s="12"/>
      <c r="T1435" s="12"/>
      <c r="U1435" s="12"/>
      <c r="V1435" s="12"/>
      <c r="W1435" s="12"/>
      <c r="X1435" s="12"/>
      <c r="Y1435" s="12"/>
      <c r="Z1435" s="12"/>
      <c r="AA1435" s="12"/>
      <c r="AB1435" s="12"/>
      <c r="AC1435" s="12"/>
      <c r="AD1435" s="12"/>
      <c r="AE1435" s="11"/>
    </row>
    <row r="1436" spans="2:31" ht="15">
      <c r="B1436" s="11"/>
      <c r="C1436" s="11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  <c r="AA1436" s="12"/>
      <c r="AB1436" s="12"/>
      <c r="AC1436" s="12"/>
      <c r="AD1436" s="12"/>
      <c r="AE1436" s="11"/>
    </row>
    <row r="1437" spans="2:31" ht="15">
      <c r="B1437" s="11"/>
      <c r="C1437" s="11"/>
      <c r="P1437" s="12"/>
      <c r="Q1437" s="12"/>
      <c r="R1437" s="12"/>
      <c r="S1437" s="12"/>
      <c r="T1437" s="12"/>
      <c r="U1437" s="12"/>
      <c r="V1437" s="12"/>
      <c r="W1437" s="12"/>
      <c r="X1437" s="12"/>
      <c r="Y1437" s="12"/>
      <c r="Z1437" s="12"/>
      <c r="AA1437" s="12"/>
      <c r="AB1437" s="12"/>
      <c r="AC1437" s="12"/>
      <c r="AD1437" s="12"/>
      <c r="AE1437" s="11"/>
    </row>
    <row r="1438" spans="2:31" ht="15">
      <c r="B1438" s="11"/>
      <c r="C1438" s="11"/>
      <c r="P1438" s="12"/>
      <c r="Q1438" s="12"/>
      <c r="R1438" s="12"/>
      <c r="S1438" s="12"/>
      <c r="T1438" s="12"/>
      <c r="U1438" s="12"/>
      <c r="V1438" s="12"/>
      <c r="W1438" s="12"/>
      <c r="X1438" s="12"/>
      <c r="Y1438" s="12"/>
      <c r="Z1438" s="12"/>
      <c r="AA1438" s="12"/>
      <c r="AB1438" s="12"/>
      <c r="AC1438" s="12"/>
      <c r="AD1438" s="12"/>
      <c r="AE1438" s="11"/>
    </row>
    <row r="1439" spans="2:31" ht="15">
      <c r="B1439" s="11"/>
      <c r="C1439" s="11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  <c r="AA1439" s="12"/>
      <c r="AB1439" s="12"/>
      <c r="AC1439" s="12"/>
      <c r="AD1439" s="12"/>
      <c r="AE1439" s="11"/>
    </row>
    <row r="1440" spans="2:31" ht="15">
      <c r="B1440" s="11"/>
      <c r="C1440" s="11"/>
      <c r="P1440" s="12"/>
      <c r="Q1440" s="12"/>
      <c r="R1440" s="12"/>
      <c r="S1440" s="12"/>
      <c r="T1440" s="12"/>
      <c r="U1440" s="12"/>
      <c r="V1440" s="12"/>
      <c r="W1440" s="12"/>
      <c r="X1440" s="12"/>
      <c r="Y1440" s="12"/>
      <c r="Z1440" s="12"/>
      <c r="AA1440" s="12"/>
      <c r="AB1440" s="12"/>
      <c r="AC1440" s="12"/>
      <c r="AD1440" s="12"/>
      <c r="AE1440" s="11"/>
    </row>
    <row r="1441" spans="2:31" ht="15">
      <c r="B1441" s="11"/>
      <c r="C1441" s="11"/>
      <c r="P1441" s="12"/>
      <c r="Q1441" s="12"/>
      <c r="R1441" s="12"/>
      <c r="S1441" s="12"/>
      <c r="T1441" s="12"/>
      <c r="U1441" s="12"/>
      <c r="V1441" s="12"/>
      <c r="W1441" s="12"/>
      <c r="X1441" s="12"/>
      <c r="Y1441" s="12"/>
      <c r="Z1441" s="12"/>
      <c r="AA1441" s="12"/>
      <c r="AB1441" s="12"/>
      <c r="AC1441" s="12"/>
      <c r="AD1441" s="12"/>
      <c r="AE1441" s="11"/>
    </row>
    <row r="1442" spans="2:31" ht="15">
      <c r="B1442" s="11"/>
      <c r="C1442" s="11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  <c r="AA1442" s="12"/>
      <c r="AB1442" s="12"/>
      <c r="AC1442" s="12"/>
      <c r="AD1442" s="12"/>
      <c r="AE1442" s="11"/>
    </row>
    <row r="1443" spans="2:31" ht="15">
      <c r="B1443" s="11"/>
      <c r="C1443" s="11"/>
      <c r="P1443" s="12"/>
      <c r="Q1443" s="12"/>
      <c r="R1443" s="12"/>
      <c r="S1443" s="12"/>
      <c r="T1443" s="12"/>
      <c r="U1443" s="12"/>
      <c r="V1443" s="12"/>
      <c r="W1443" s="12"/>
      <c r="X1443" s="12"/>
      <c r="Y1443" s="12"/>
      <c r="Z1443" s="12"/>
      <c r="AA1443" s="12"/>
      <c r="AB1443" s="12"/>
      <c r="AC1443" s="12"/>
      <c r="AD1443" s="12"/>
      <c r="AE1443" s="11"/>
    </row>
    <row r="1444" spans="2:31" ht="15">
      <c r="B1444" s="11"/>
      <c r="C1444" s="11"/>
      <c r="P1444" s="12"/>
      <c r="Q1444" s="12"/>
      <c r="R1444" s="12"/>
      <c r="S1444" s="12"/>
      <c r="T1444" s="12"/>
      <c r="U1444" s="12"/>
      <c r="V1444" s="12"/>
      <c r="W1444" s="12"/>
      <c r="X1444" s="12"/>
      <c r="Y1444" s="12"/>
      <c r="Z1444" s="12"/>
      <c r="AA1444" s="12"/>
      <c r="AB1444" s="12"/>
      <c r="AC1444" s="12"/>
      <c r="AD1444" s="12"/>
      <c r="AE1444" s="11"/>
    </row>
    <row r="1445" spans="2:31" ht="15">
      <c r="B1445" s="11"/>
      <c r="C1445" s="11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  <c r="AA1445" s="12"/>
      <c r="AB1445" s="12"/>
      <c r="AC1445" s="12"/>
      <c r="AD1445" s="12"/>
      <c r="AE1445" s="11"/>
    </row>
    <row r="1446" spans="2:31" ht="15">
      <c r="B1446" s="11"/>
      <c r="C1446" s="11"/>
      <c r="P1446" s="12"/>
      <c r="Q1446" s="12"/>
      <c r="R1446" s="12"/>
      <c r="S1446" s="12"/>
      <c r="T1446" s="12"/>
      <c r="U1446" s="12"/>
      <c r="V1446" s="12"/>
      <c r="W1446" s="12"/>
      <c r="X1446" s="12"/>
      <c r="Y1446" s="12"/>
      <c r="Z1446" s="12"/>
      <c r="AA1446" s="12"/>
      <c r="AB1446" s="12"/>
      <c r="AC1446" s="12"/>
      <c r="AD1446" s="12"/>
      <c r="AE1446" s="11"/>
    </row>
    <row r="1447" spans="2:31" ht="15">
      <c r="B1447" s="11"/>
      <c r="C1447" s="11"/>
      <c r="P1447" s="12"/>
      <c r="Q1447" s="12"/>
      <c r="R1447" s="12"/>
      <c r="S1447" s="12"/>
      <c r="T1447" s="12"/>
      <c r="U1447" s="12"/>
      <c r="V1447" s="12"/>
      <c r="W1447" s="12"/>
      <c r="X1447" s="12"/>
      <c r="Y1447" s="12"/>
      <c r="Z1447" s="12"/>
      <c r="AA1447" s="12"/>
      <c r="AB1447" s="12"/>
      <c r="AC1447" s="12"/>
      <c r="AD1447" s="12"/>
      <c r="AE1447" s="11"/>
    </row>
    <row r="1448" spans="2:31" ht="15">
      <c r="B1448" s="11"/>
      <c r="C1448" s="11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12"/>
      <c r="AB1448" s="12"/>
      <c r="AC1448" s="12"/>
      <c r="AD1448" s="12"/>
      <c r="AE1448" s="11"/>
    </row>
    <row r="1449" spans="2:31" ht="15">
      <c r="B1449" s="11"/>
      <c r="C1449" s="11"/>
      <c r="P1449" s="12"/>
      <c r="Q1449" s="12"/>
      <c r="R1449" s="12"/>
      <c r="S1449" s="12"/>
      <c r="T1449" s="12"/>
      <c r="U1449" s="12"/>
      <c r="V1449" s="12"/>
      <c r="W1449" s="12"/>
      <c r="X1449" s="12"/>
      <c r="Y1449" s="12"/>
      <c r="Z1449" s="12"/>
      <c r="AA1449" s="12"/>
      <c r="AB1449" s="12"/>
      <c r="AC1449" s="12"/>
      <c r="AD1449" s="12"/>
      <c r="AE1449" s="11"/>
    </row>
    <row r="1450" spans="2:31" ht="15">
      <c r="B1450" s="11"/>
      <c r="C1450" s="11"/>
      <c r="P1450" s="12"/>
      <c r="Q1450" s="12"/>
      <c r="R1450" s="12"/>
      <c r="S1450" s="12"/>
      <c r="T1450" s="12"/>
      <c r="U1450" s="12"/>
      <c r="V1450" s="12"/>
      <c r="W1450" s="12"/>
      <c r="X1450" s="12"/>
      <c r="Y1450" s="12"/>
      <c r="Z1450" s="12"/>
      <c r="AA1450" s="12"/>
      <c r="AB1450" s="12"/>
      <c r="AC1450" s="12"/>
      <c r="AD1450" s="12"/>
      <c r="AE1450" s="11"/>
    </row>
    <row r="1451" spans="2:31" ht="15">
      <c r="B1451" s="11"/>
      <c r="C1451" s="11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  <c r="AA1451" s="12"/>
      <c r="AB1451" s="12"/>
      <c r="AC1451" s="12"/>
      <c r="AD1451" s="12"/>
      <c r="AE1451" s="11"/>
    </row>
    <row r="1452" spans="2:31" ht="15">
      <c r="B1452" s="11"/>
      <c r="C1452" s="11"/>
      <c r="P1452" s="12"/>
      <c r="Q1452" s="12"/>
      <c r="R1452" s="12"/>
      <c r="S1452" s="12"/>
      <c r="T1452" s="12"/>
      <c r="U1452" s="12"/>
      <c r="V1452" s="12"/>
      <c r="W1452" s="12"/>
      <c r="X1452" s="12"/>
      <c r="Y1452" s="12"/>
      <c r="Z1452" s="12"/>
      <c r="AA1452" s="12"/>
      <c r="AB1452" s="12"/>
      <c r="AC1452" s="12"/>
      <c r="AD1452" s="12"/>
      <c r="AE1452" s="11"/>
    </row>
    <row r="1453" spans="2:31" ht="15">
      <c r="B1453" s="11"/>
      <c r="C1453" s="11"/>
      <c r="P1453" s="12"/>
      <c r="Q1453" s="12"/>
      <c r="R1453" s="12"/>
      <c r="S1453" s="12"/>
      <c r="T1453" s="12"/>
      <c r="U1453" s="12"/>
      <c r="V1453" s="12"/>
      <c r="W1453" s="12"/>
      <c r="X1453" s="12"/>
      <c r="Y1453" s="12"/>
      <c r="Z1453" s="12"/>
      <c r="AA1453" s="12"/>
      <c r="AB1453" s="12"/>
      <c r="AC1453" s="12"/>
      <c r="AD1453" s="12"/>
      <c r="AE1453" s="11"/>
    </row>
    <row r="1454" spans="2:31" ht="15">
      <c r="B1454" s="11"/>
      <c r="C1454" s="11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  <c r="AA1454" s="12"/>
      <c r="AB1454" s="12"/>
      <c r="AC1454" s="12"/>
      <c r="AD1454" s="12"/>
      <c r="AE1454" s="11"/>
    </row>
    <row r="1455" spans="2:31" ht="15">
      <c r="B1455" s="11"/>
      <c r="C1455" s="11"/>
      <c r="P1455" s="12"/>
      <c r="Q1455" s="12"/>
      <c r="R1455" s="12"/>
      <c r="S1455" s="12"/>
      <c r="T1455" s="12"/>
      <c r="U1455" s="12"/>
      <c r="V1455" s="12"/>
      <c r="W1455" s="12"/>
      <c r="X1455" s="12"/>
      <c r="Y1455" s="12"/>
      <c r="Z1455" s="12"/>
      <c r="AA1455" s="12"/>
      <c r="AB1455" s="12"/>
      <c r="AC1455" s="12"/>
      <c r="AD1455" s="12"/>
      <c r="AE1455" s="11"/>
    </row>
    <row r="1456" spans="2:31" ht="15">
      <c r="B1456" s="11"/>
      <c r="C1456" s="11"/>
      <c r="P1456" s="12"/>
      <c r="Q1456" s="12"/>
      <c r="R1456" s="12"/>
      <c r="S1456" s="12"/>
      <c r="T1456" s="12"/>
      <c r="U1456" s="12"/>
      <c r="V1456" s="12"/>
      <c r="W1456" s="12"/>
      <c r="X1456" s="12"/>
      <c r="Y1456" s="12"/>
      <c r="Z1456" s="12"/>
      <c r="AA1456" s="12"/>
      <c r="AB1456" s="12"/>
      <c r="AC1456" s="12"/>
      <c r="AD1456" s="12"/>
      <c r="AE1456" s="11"/>
    </row>
    <row r="1457" spans="2:31" ht="15">
      <c r="B1457" s="11"/>
      <c r="C1457" s="11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  <c r="AA1457" s="12"/>
      <c r="AB1457" s="12"/>
      <c r="AC1457" s="12"/>
      <c r="AD1457" s="12"/>
      <c r="AE1457" s="11"/>
    </row>
    <row r="1458" spans="2:31" ht="15">
      <c r="B1458" s="11"/>
      <c r="C1458" s="11"/>
      <c r="P1458" s="12"/>
      <c r="Q1458" s="12"/>
      <c r="R1458" s="12"/>
      <c r="S1458" s="12"/>
      <c r="T1458" s="12"/>
      <c r="U1458" s="12"/>
      <c r="V1458" s="12"/>
      <c r="W1458" s="12"/>
      <c r="X1458" s="12"/>
      <c r="Y1458" s="12"/>
      <c r="Z1458" s="12"/>
      <c r="AA1458" s="12"/>
      <c r="AB1458" s="12"/>
      <c r="AC1458" s="12"/>
      <c r="AD1458" s="12"/>
      <c r="AE1458" s="11"/>
    </row>
    <row r="1459" spans="2:31" ht="15">
      <c r="B1459" s="11"/>
      <c r="C1459" s="11"/>
      <c r="P1459" s="12"/>
      <c r="Q1459" s="12"/>
      <c r="R1459" s="12"/>
      <c r="S1459" s="12"/>
      <c r="T1459" s="12"/>
      <c r="U1459" s="12"/>
      <c r="V1459" s="12"/>
      <c r="W1459" s="12"/>
      <c r="X1459" s="12"/>
      <c r="Y1459" s="12"/>
      <c r="Z1459" s="12"/>
      <c r="AA1459" s="12"/>
      <c r="AB1459" s="12"/>
      <c r="AC1459" s="12"/>
      <c r="AD1459" s="12"/>
      <c r="AE1459" s="11"/>
    </row>
    <row r="1460" spans="2:31" ht="15">
      <c r="B1460" s="11"/>
      <c r="C1460" s="11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  <c r="AA1460" s="12"/>
      <c r="AB1460" s="12"/>
      <c r="AC1460" s="12"/>
      <c r="AD1460" s="12"/>
      <c r="AE1460" s="11"/>
    </row>
    <row r="1461" spans="2:31" ht="15">
      <c r="B1461" s="11"/>
      <c r="C1461" s="11"/>
      <c r="P1461" s="12"/>
      <c r="Q1461" s="12"/>
      <c r="R1461" s="12"/>
      <c r="S1461" s="12"/>
      <c r="T1461" s="12"/>
      <c r="U1461" s="12"/>
      <c r="V1461" s="12"/>
      <c r="W1461" s="12"/>
      <c r="X1461" s="12"/>
      <c r="Y1461" s="12"/>
      <c r="Z1461" s="12"/>
      <c r="AA1461" s="12"/>
      <c r="AB1461" s="12"/>
      <c r="AC1461" s="12"/>
      <c r="AD1461" s="12"/>
      <c r="AE1461" s="11"/>
    </row>
    <row r="1462" spans="2:31" ht="15">
      <c r="B1462" s="11"/>
      <c r="C1462" s="11"/>
      <c r="P1462" s="12"/>
      <c r="Q1462" s="12"/>
      <c r="R1462" s="12"/>
      <c r="S1462" s="12"/>
      <c r="T1462" s="12"/>
      <c r="U1462" s="12"/>
      <c r="V1462" s="12"/>
      <c r="W1462" s="12"/>
      <c r="X1462" s="12"/>
      <c r="Y1462" s="12"/>
      <c r="Z1462" s="12"/>
      <c r="AA1462" s="12"/>
      <c r="AB1462" s="12"/>
      <c r="AC1462" s="12"/>
      <c r="AD1462" s="12"/>
      <c r="AE1462" s="11"/>
    </row>
    <row r="1463" spans="2:31" ht="15">
      <c r="B1463" s="11"/>
      <c r="C1463" s="11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  <c r="AA1463" s="12"/>
      <c r="AB1463" s="12"/>
      <c r="AC1463" s="12"/>
      <c r="AD1463" s="12"/>
      <c r="AE1463" s="11"/>
    </row>
    <row r="1464" spans="2:31" ht="15">
      <c r="B1464" s="11"/>
      <c r="C1464" s="11"/>
      <c r="P1464" s="12"/>
      <c r="Q1464" s="12"/>
      <c r="R1464" s="12"/>
      <c r="S1464" s="12"/>
      <c r="T1464" s="12"/>
      <c r="U1464" s="12"/>
      <c r="V1464" s="12"/>
      <c r="W1464" s="12"/>
      <c r="X1464" s="12"/>
      <c r="Y1464" s="12"/>
      <c r="Z1464" s="12"/>
      <c r="AA1464" s="12"/>
      <c r="AB1464" s="12"/>
      <c r="AC1464" s="12"/>
      <c r="AD1464" s="12"/>
      <c r="AE1464" s="11"/>
    </row>
    <row r="1465" spans="2:31" ht="15">
      <c r="B1465" s="11"/>
      <c r="C1465" s="11"/>
      <c r="P1465" s="12"/>
      <c r="Q1465" s="12"/>
      <c r="R1465" s="12"/>
      <c r="S1465" s="12"/>
      <c r="T1465" s="12"/>
      <c r="U1465" s="12"/>
      <c r="V1465" s="12"/>
      <c r="W1465" s="12"/>
      <c r="X1465" s="12"/>
      <c r="Y1465" s="12"/>
      <c r="Z1465" s="12"/>
      <c r="AA1465" s="12"/>
      <c r="AB1465" s="12"/>
      <c r="AC1465" s="12"/>
      <c r="AD1465" s="12"/>
      <c r="AE1465" s="11"/>
    </row>
    <row r="1466" spans="2:31" ht="15">
      <c r="B1466" s="11"/>
      <c r="C1466" s="11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  <c r="AA1466" s="12"/>
      <c r="AB1466" s="12"/>
      <c r="AC1466" s="12"/>
      <c r="AD1466" s="12"/>
      <c r="AE1466" s="11"/>
    </row>
    <row r="1467" spans="2:31" ht="15">
      <c r="B1467" s="11"/>
      <c r="C1467" s="11"/>
      <c r="P1467" s="12"/>
      <c r="Q1467" s="12"/>
      <c r="R1467" s="12"/>
      <c r="S1467" s="12"/>
      <c r="T1467" s="12"/>
      <c r="U1467" s="12"/>
      <c r="V1467" s="12"/>
      <c r="W1467" s="12"/>
      <c r="X1467" s="12"/>
      <c r="Y1467" s="12"/>
      <c r="Z1467" s="12"/>
      <c r="AA1467" s="12"/>
      <c r="AB1467" s="12"/>
      <c r="AC1467" s="12"/>
      <c r="AD1467" s="12"/>
      <c r="AE1467" s="11"/>
    </row>
    <row r="1468" spans="2:31" ht="15">
      <c r="B1468" s="11"/>
      <c r="C1468" s="11"/>
      <c r="P1468" s="12"/>
      <c r="Q1468" s="12"/>
      <c r="R1468" s="12"/>
      <c r="S1468" s="12"/>
      <c r="T1468" s="12"/>
      <c r="U1468" s="12"/>
      <c r="V1468" s="12"/>
      <c r="W1468" s="12"/>
      <c r="X1468" s="12"/>
      <c r="Y1468" s="12"/>
      <c r="Z1468" s="12"/>
      <c r="AA1468" s="12"/>
      <c r="AB1468" s="12"/>
      <c r="AC1468" s="12"/>
      <c r="AD1468" s="12"/>
      <c r="AE1468" s="11"/>
    </row>
    <row r="1469" spans="2:31" ht="15">
      <c r="B1469" s="11"/>
      <c r="C1469" s="11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  <c r="AA1469" s="12"/>
      <c r="AB1469" s="12"/>
      <c r="AC1469" s="12"/>
      <c r="AD1469" s="12"/>
      <c r="AE1469" s="11"/>
    </row>
    <row r="1470" spans="2:31" ht="15">
      <c r="B1470" s="11"/>
      <c r="C1470" s="11"/>
      <c r="P1470" s="12"/>
      <c r="Q1470" s="12"/>
      <c r="R1470" s="12"/>
      <c r="S1470" s="12"/>
      <c r="T1470" s="12"/>
      <c r="U1470" s="12"/>
      <c r="V1470" s="12"/>
      <c r="W1470" s="12"/>
      <c r="X1470" s="12"/>
      <c r="Y1470" s="12"/>
      <c r="Z1470" s="12"/>
      <c r="AA1470" s="12"/>
      <c r="AB1470" s="12"/>
      <c r="AC1470" s="12"/>
      <c r="AD1470" s="12"/>
      <c r="AE1470" s="11"/>
    </row>
    <row r="1471" spans="2:31" ht="15">
      <c r="B1471" s="11"/>
      <c r="C1471" s="11"/>
      <c r="P1471" s="12"/>
      <c r="Q1471" s="12"/>
      <c r="R1471" s="12"/>
      <c r="S1471" s="12"/>
      <c r="T1471" s="12"/>
      <c r="U1471" s="12"/>
      <c r="V1471" s="12"/>
      <c r="W1471" s="12"/>
      <c r="X1471" s="12"/>
      <c r="Y1471" s="12"/>
      <c r="Z1471" s="12"/>
      <c r="AA1471" s="12"/>
      <c r="AB1471" s="12"/>
      <c r="AC1471" s="12"/>
      <c r="AD1471" s="12"/>
      <c r="AE1471" s="11"/>
    </row>
    <row r="1472" spans="2:31" ht="15">
      <c r="B1472" s="11"/>
      <c r="C1472" s="11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  <c r="AA1472" s="12"/>
      <c r="AB1472" s="12"/>
      <c r="AC1472" s="12"/>
      <c r="AD1472" s="12"/>
      <c r="AE1472" s="11"/>
    </row>
    <row r="1473" spans="2:31" ht="15">
      <c r="B1473" s="11"/>
      <c r="C1473" s="11"/>
      <c r="P1473" s="12"/>
      <c r="Q1473" s="12"/>
      <c r="R1473" s="12"/>
      <c r="S1473" s="12"/>
      <c r="T1473" s="12"/>
      <c r="U1473" s="12"/>
      <c r="V1473" s="12"/>
      <c r="W1473" s="12"/>
      <c r="X1473" s="12"/>
      <c r="Y1473" s="12"/>
      <c r="Z1473" s="12"/>
      <c r="AA1473" s="12"/>
      <c r="AB1473" s="12"/>
      <c r="AC1473" s="12"/>
      <c r="AD1473" s="12"/>
      <c r="AE1473" s="11"/>
    </row>
    <row r="1474" spans="2:31" ht="15">
      <c r="B1474" s="11"/>
      <c r="C1474" s="11"/>
      <c r="P1474" s="12"/>
      <c r="Q1474" s="12"/>
      <c r="R1474" s="12"/>
      <c r="S1474" s="12"/>
      <c r="T1474" s="12"/>
      <c r="U1474" s="12"/>
      <c r="V1474" s="12"/>
      <c r="W1474" s="12"/>
      <c r="X1474" s="12"/>
      <c r="Y1474" s="12"/>
      <c r="Z1474" s="12"/>
      <c r="AA1474" s="12"/>
      <c r="AB1474" s="12"/>
      <c r="AC1474" s="12"/>
      <c r="AD1474" s="12"/>
      <c r="AE1474" s="11"/>
    </row>
    <row r="1475" spans="2:31" ht="15">
      <c r="B1475" s="11"/>
      <c r="C1475" s="11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  <c r="AA1475" s="12"/>
      <c r="AB1475" s="12"/>
      <c r="AC1475" s="12"/>
      <c r="AD1475" s="12"/>
      <c r="AE1475" s="11"/>
    </row>
    <row r="1476" spans="2:31" ht="15">
      <c r="B1476" s="11"/>
      <c r="C1476" s="11"/>
      <c r="P1476" s="12"/>
      <c r="Q1476" s="12"/>
      <c r="R1476" s="12"/>
      <c r="S1476" s="12"/>
      <c r="T1476" s="12"/>
      <c r="U1476" s="12"/>
      <c r="V1476" s="12"/>
      <c r="W1476" s="12"/>
      <c r="X1476" s="12"/>
      <c r="Y1476" s="12"/>
      <c r="Z1476" s="12"/>
      <c r="AA1476" s="12"/>
      <c r="AB1476" s="12"/>
      <c r="AC1476" s="12"/>
      <c r="AD1476" s="12"/>
      <c r="AE1476" s="11"/>
    </row>
    <row r="1477" spans="2:31" ht="15">
      <c r="B1477" s="11"/>
      <c r="C1477" s="11"/>
      <c r="P1477" s="12"/>
      <c r="Q1477" s="12"/>
      <c r="R1477" s="12"/>
      <c r="S1477" s="12"/>
      <c r="T1477" s="12"/>
      <c r="U1477" s="12"/>
      <c r="V1477" s="12"/>
      <c r="W1477" s="12"/>
      <c r="X1477" s="12"/>
      <c r="Y1477" s="12"/>
      <c r="Z1477" s="12"/>
      <c r="AA1477" s="12"/>
      <c r="AB1477" s="12"/>
      <c r="AC1477" s="12"/>
      <c r="AD1477" s="12"/>
      <c r="AE1477" s="11"/>
    </row>
    <row r="1478" spans="2:31" ht="15">
      <c r="B1478" s="11"/>
      <c r="C1478" s="11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  <c r="AA1478" s="12"/>
      <c r="AB1478" s="12"/>
      <c r="AC1478" s="12"/>
      <c r="AD1478" s="12"/>
      <c r="AE1478" s="11"/>
    </row>
    <row r="1479" spans="2:31" ht="15">
      <c r="B1479" s="11"/>
      <c r="C1479" s="11"/>
      <c r="P1479" s="12"/>
      <c r="Q1479" s="12"/>
      <c r="R1479" s="12"/>
      <c r="S1479" s="12"/>
      <c r="T1479" s="12"/>
      <c r="U1479" s="12"/>
      <c r="V1479" s="12"/>
      <c r="W1479" s="12"/>
      <c r="X1479" s="12"/>
      <c r="Y1479" s="12"/>
      <c r="Z1479" s="12"/>
      <c r="AA1479" s="12"/>
      <c r="AB1479" s="12"/>
      <c r="AC1479" s="12"/>
      <c r="AD1479" s="12"/>
      <c r="AE1479" s="11"/>
    </row>
    <row r="1480" spans="2:31" ht="15">
      <c r="B1480" s="11"/>
      <c r="C1480" s="11"/>
      <c r="P1480" s="12"/>
      <c r="Q1480" s="12"/>
      <c r="R1480" s="12"/>
      <c r="S1480" s="12"/>
      <c r="T1480" s="12"/>
      <c r="U1480" s="12"/>
      <c r="V1480" s="12"/>
      <c r="W1480" s="12"/>
      <c r="X1480" s="12"/>
      <c r="Y1480" s="12"/>
      <c r="Z1480" s="12"/>
      <c r="AA1480" s="12"/>
      <c r="AB1480" s="12"/>
      <c r="AC1480" s="12"/>
      <c r="AD1480" s="12"/>
      <c r="AE1480" s="11"/>
    </row>
    <row r="1481" spans="2:31" ht="15">
      <c r="B1481" s="11"/>
      <c r="C1481" s="11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  <c r="AA1481" s="12"/>
      <c r="AB1481" s="12"/>
      <c r="AC1481" s="12"/>
      <c r="AD1481" s="12"/>
      <c r="AE1481" s="11"/>
    </row>
    <row r="1482" spans="2:31" ht="15">
      <c r="B1482" s="11"/>
      <c r="C1482" s="11"/>
      <c r="P1482" s="12"/>
      <c r="Q1482" s="12"/>
      <c r="R1482" s="12"/>
      <c r="S1482" s="12"/>
      <c r="T1482" s="12"/>
      <c r="U1482" s="12"/>
      <c r="V1482" s="12"/>
      <c r="W1482" s="12"/>
      <c r="X1482" s="12"/>
      <c r="Y1482" s="12"/>
      <c r="Z1482" s="12"/>
      <c r="AA1482" s="12"/>
      <c r="AB1482" s="12"/>
      <c r="AC1482" s="12"/>
      <c r="AD1482" s="12"/>
      <c r="AE1482" s="11"/>
    </row>
    <row r="1483" spans="2:31" ht="15">
      <c r="B1483" s="11"/>
      <c r="C1483" s="11"/>
      <c r="P1483" s="12"/>
      <c r="Q1483" s="12"/>
      <c r="R1483" s="12"/>
      <c r="S1483" s="12"/>
      <c r="T1483" s="12"/>
      <c r="U1483" s="12"/>
      <c r="V1483" s="12"/>
      <c r="W1483" s="12"/>
      <c r="X1483" s="12"/>
      <c r="Y1483" s="12"/>
      <c r="Z1483" s="12"/>
      <c r="AA1483" s="12"/>
      <c r="AB1483" s="12"/>
      <c r="AC1483" s="12"/>
      <c r="AD1483" s="12"/>
      <c r="AE1483" s="11"/>
    </row>
    <row r="1484" spans="2:31" ht="15">
      <c r="B1484" s="11"/>
      <c r="C1484" s="11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  <c r="AA1484" s="12"/>
      <c r="AB1484" s="12"/>
      <c r="AC1484" s="12"/>
      <c r="AD1484" s="12"/>
      <c r="AE1484" s="11"/>
    </row>
    <row r="1485" spans="2:31" ht="15">
      <c r="B1485" s="11"/>
      <c r="C1485" s="11"/>
      <c r="P1485" s="12"/>
      <c r="Q1485" s="12"/>
      <c r="R1485" s="12"/>
      <c r="S1485" s="12"/>
      <c r="T1485" s="12"/>
      <c r="U1485" s="12"/>
      <c r="V1485" s="12"/>
      <c r="W1485" s="12"/>
      <c r="X1485" s="12"/>
      <c r="Y1485" s="12"/>
      <c r="Z1485" s="12"/>
      <c r="AA1485" s="12"/>
      <c r="AB1485" s="12"/>
      <c r="AC1485" s="12"/>
      <c r="AD1485" s="12"/>
      <c r="AE1485" s="11"/>
    </row>
    <row r="1486" spans="2:31" ht="15">
      <c r="B1486" s="11"/>
      <c r="C1486" s="11"/>
      <c r="P1486" s="12"/>
      <c r="Q1486" s="12"/>
      <c r="R1486" s="12"/>
      <c r="S1486" s="12"/>
      <c r="T1486" s="12"/>
      <c r="U1486" s="12"/>
      <c r="V1486" s="12"/>
      <c r="W1486" s="12"/>
      <c r="X1486" s="12"/>
      <c r="Y1486" s="12"/>
      <c r="Z1486" s="12"/>
      <c r="AA1486" s="12"/>
      <c r="AB1486" s="12"/>
      <c r="AC1486" s="12"/>
      <c r="AD1486" s="12"/>
      <c r="AE1486" s="11"/>
    </row>
    <row r="1487" spans="2:31" ht="15">
      <c r="B1487" s="11"/>
      <c r="C1487" s="11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  <c r="AA1487" s="12"/>
      <c r="AB1487" s="12"/>
      <c r="AC1487" s="12"/>
      <c r="AD1487" s="12"/>
      <c r="AE1487" s="11"/>
    </row>
    <row r="1488" spans="2:31" ht="15">
      <c r="B1488" s="11"/>
      <c r="C1488" s="11"/>
      <c r="P1488" s="12"/>
      <c r="Q1488" s="12"/>
      <c r="R1488" s="12"/>
      <c r="S1488" s="12"/>
      <c r="T1488" s="12"/>
      <c r="U1488" s="12"/>
      <c r="V1488" s="12"/>
      <c r="W1488" s="12"/>
      <c r="X1488" s="12"/>
      <c r="Y1488" s="12"/>
      <c r="Z1488" s="12"/>
      <c r="AA1488" s="12"/>
      <c r="AB1488" s="12"/>
      <c r="AC1488" s="12"/>
      <c r="AD1488" s="12"/>
      <c r="AE1488" s="11"/>
    </row>
    <row r="1489" spans="2:31" ht="15">
      <c r="B1489" s="11"/>
      <c r="C1489" s="11"/>
      <c r="P1489" s="12"/>
      <c r="Q1489" s="12"/>
      <c r="R1489" s="12"/>
      <c r="S1489" s="12"/>
      <c r="T1489" s="12"/>
      <c r="U1489" s="12"/>
      <c r="V1489" s="12"/>
      <c r="W1489" s="12"/>
      <c r="X1489" s="12"/>
      <c r="Y1489" s="12"/>
      <c r="Z1489" s="12"/>
      <c r="AA1489" s="12"/>
      <c r="AB1489" s="12"/>
      <c r="AC1489" s="12"/>
      <c r="AD1489" s="12"/>
      <c r="AE1489" s="11"/>
    </row>
    <row r="1490" spans="2:31" ht="15">
      <c r="B1490" s="11"/>
      <c r="C1490" s="11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  <c r="AA1490" s="12"/>
      <c r="AB1490" s="12"/>
      <c r="AC1490" s="12"/>
      <c r="AD1490" s="12"/>
      <c r="AE1490" s="11"/>
    </row>
    <row r="1491" spans="2:31" ht="15">
      <c r="B1491" s="11"/>
      <c r="C1491" s="11"/>
      <c r="P1491" s="12"/>
      <c r="Q1491" s="12"/>
      <c r="R1491" s="12"/>
      <c r="S1491" s="12"/>
      <c r="T1491" s="12"/>
      <c r="U1491" s="12"/>
      <c r="V1491" s="12"/>
      <c r="W1491" s="12"/>
      <c r="X1491" s="12"/>
      <c r="Y1491" s="12"/>
      <c r="Z1491" s="12"/>
      <c r="AA1491" s="12"/>
      <c r="AB1491" s="12"/>
      <c r="AC1491" s="12"/>
      <c r="AD1491" s="12"/>
      <c r="AE1491" s="11"/>
    </row>
    <row r="1492" spans="2:31" ht="15">
      <c r="B1492" s="11"/>
      <c r="C1492" s="11"/>
      <c r="P1492" s="12"/>
      <c r="Q1492" s="12"/>
      <c r="R1492" s="12"/>
      <c r="S1492" s="12"/>
      <c r="T1492" s="12"/>
      <c r="U1492" s="12"/>
      <c r="V1492" s="12"/>
      <c r="W1492" s="12"/>
      <c r="X1492" s="12"/>
      <c r="Y1492" s="12"/>
      <c r="Z1492" s="12"/>
      <c r="AA1492" s="12"/>
      <c r="AB1492" s="12"/>
      <c r="AC1492" s="12"/>
      <c r="AD1492" s="12"/>
      <c r="AE1492" s="11"/>
    </row>
    <row r="1493" spans="2:31" ht="15">
      <c r="B1493" s="11"/>
      <c r="C1493" s="11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1"/>
    </row>
    <row r="1494" spans="2:31" ht="15">
      <c r="B1494" s="11"/>
      <c r="C1494" s="11"/>
      <c r="P1494" s="12"/>
      <c r="Q1494" s="12"/>
      <c r="R1494" s="12"/>
      <c r="S1494" s="12"/>
      <c r="T1494" s="12"/>
      <c r="U1494" s="12"/>
      <c r="V1494" s="12"/>
      <c r="W1494" s="12"/>
      <c r="X1494" s="12"/>
      <c r="Y1494" s="12"/>
      <c r="Z1494" s="12"/>
      <c r="AA1494" s="12"/>
      <c r="AB1494" s="12"/>
      <c r="AC1494" s="12"/>
      <c r="AD1494" s="12"/>
      <c r="AE1494" s="11"/>
    </row>
    <row r="1495" spans="2:31" ht="15">
      <c r="B1495" s="11"/>
      <c r="C1495" s="11"/>
      <c r="P1495" s="12"/>
      <c r="Q1495" s="12"/>
      <c r="R1495" s="12"/>
      <c r="S1495" s="12"/>
      <c r="T1495" s="12"/>
      <c r="U1495" s="12"/>
      <c r="V1495" s="12"/>
      <c r="W1495" s="12"/>
      <c r="X1495" s="12"/>
      <c r="Y1495" s="12"/>
      <c r="Z1495" s="12"/>
      <c r="AA1495" s="12"/>
      <c r="AB1495" s="12"/>
      <c r="AC1495" s="12"/>
      <c r="AD1495" s="12"/>
      <c r="AE1495" s="11"/>
    </row>
    <row r="1496" spans="2:31" ht="15">
      <c r="B1496" s="11"/>
      <c r="C1496" s="11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  <c r="AA1496" s="12"/>
      <c r="AB1496" s="12"/>
      <c r="AC1496" s="12"/>
      <c r="AD1496" s="12"/>
      <c r="AE1496" s="11"/>
    </row>
    <row r="1497" spans="2:31" ht="15">
      <c r="B1497" s="11"/>
      <c r="C1497" s="11"/>
      <c r="P1497" s="12"/>
      <c r="Q1497" s="12"/>
      <c r="R1497" s="12"/>
      <c r="S1497" s="12"/>
      <c r="T1497" s="12"/>
      <c r="U1497" s="12"/>
      <c r="V1497" s="12"/>
      <c r="W1497" s="12"/>
      <c r="X1497" s="12"/>
      <c r="Y1497" s="12"/>
      <c r="Z1497" s="12"/>
      <c r="AA1497" s="12"/>
      <c r="AB1497" s="12"/>
      <c r="AC1497" s="12"/>
      <c r="AD1497" s="12"/>
      <c r="AE1497" s="11"/>
    </row>
    <row r="1498" spans="2:31" ht="15">
      <c r="B1498" s="11"/>
      <c r="C1498" s="11"/>
      <c r="P1498" s="12"/>
      <c r="Q1498" s="12"/>
      <c r="R1498" s="12"/>
      <c r="S1498" s="12"/>
      <c r="T1498" s="12"/>
      <c r="U1498" s="12"/>
      <c r="V1498" s="12"/>
      <c r="W1498" s="12"/>
      <c r="X1498" s="12"/>
      <c r="Y1498" s="12"/>
      <c r="Z1498" s="12"/>
      <c r="AA1498" s="12"/>
      <c r="AB1498" s="12"/>
      <c r="AC1498" s="12"/>
      <c r="AD1498" s="12"/>
      <c r="AE1498" s="11"/>
    </row>
    <row r="1499" spans="2:31" ht="15">
      <c r="B1499" s="11"/>
      <c r="C1499" s="11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  <c r="AA1499" s="12"/>
      <c r="AB1499" s="12"/>
      <c r="AC1499" s="12"/>
      <c r="AD1499" s="12"/>
      <c r="AE1499" s="11"/>
    </row>
    <row r="1500" spans="2:31" ht="15">
      <c r="B1500" s="11"/>
      <c r="C1500" s="11"/>
      <c r="P1500" s="12"/>
      <c r="Q1500" s="12"/>
      <c r="R1500" s="12"/>
      <c r="S1500" s="12"/>
      <c r="T1500" s="12"/>
      <c r="U1500" s="12"/>
      <c r="V1500" s="12"/>
      <c r="W1500" s="12"/>
      <c r="X1500" s="12"/>
      <c r="Y1500" s="12"/>
      <c r="Z1500" s="12"/>
      <c r="AA1500" s="12"/>
      <c r="AB1500" s="12"/>
      <c r="AC1500" s="12"/>
      <c r="AD1500" s="12"/>
      <c r="AE1500" s="11"/>
    </row>
    <row r="1501" spans="2:31" ht="15">
      <c r="B1501" s="11"/>
      <c r="C1501" s="11"/>
      <c r="P1501" s="12"/>
      <c r="Q1501" s="12"/>
      <c r="R1501" s="12"/>
      <c r="S1501" s="12"/>
      <c r="T1501" s="12"/>
      <c r="U1501" s="12"/>
      <c r="V1501" s="12"/>
      <c r="W1501" s="12"/>
      <c r="X1501" s="12"/>
      <c r="Y1501" s="12"/>
      <c r="Z1501" s="12"/>
      <c r="AA1501" s="12"/>
      <c r="AB1501" s="12"/>
      <c r="AC1501" s="12"/>
      <c r="AD1501" s="12"/>
      <c r="AE1501" s="11"/>
    </row>
    <row r="1502" spans="2:31" ht="15">
      <c r="B1502" s="11"/>
      <c r="C1502" s="11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  <c r="AA1502" s="12"/>
      <c r="AB1502" s="12"/>
      <c r="AC1502" s="12"/>
      <c r="AD1502" s="12"/>
      <c r="AE1502" s="11"/>
    </row>
    <row r="1503" spans="2:31" ht="15">
      <c r="B1503" s="11"/>
      <c r="C1503" s="11"/>
      <c r="P1503" s="12"/>
      <c r="Q1503" s="12"/>
      <c r="R1503" s="12"/>
      <c r="S1503" s="12"/>
      <c r="T1503" s="12"/>
      <c r="U1503" s="12"/>
      <c r="V1503" s="12"/>
      <c r="W1503" s="12"/>
      <c r="X1503" s="12"/>
      <c r="Y1503" s="12"/>
      <c r="Z1503" s="12"/>
      <c r="AA1503" s="12"/>
      <c r="AB1503" s="12"/>
      <c r="AC1503" s="12"/>
      <c r="AD1503" s="12"/>
      <c r="AE1503" s="11"/>
    </row>
    <row r="1504" spans="2:31" ht="15">
      <c r="B1504" s="11"/>
      <c r="C1504" s="11"/>
      <c r="P1504" s="12"/>
      <c r="Q1504" s="12"/>
      <c r="R1504" s="12"/>
      <c r="S1504" s="12"/>
      <c r="T1504" s="12"/>
      <c r="U1504" s="12"/>
      <c r="V1504" s="12"/>
      <c r="W1504" s="12"/>
      <c r="X1504" s="12"/>
      <c r="Y1504" s="12"/>
      <c r="Z1504" s="12"/>
      <c r="AA1504" s="12"/>
      <c r="AB1504" s="12"/>
      <c r="AC1504" s="12"/>
      <c r="AD1504" s="12"/>
      <c r="AE1504" s="11"/>
    </row>
    <row r="1505" spans="2:31" ht="15">
      <c r="B1505" s="11"/>
      <c r="C1505" s="11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  <c r="AA1505" s="12"/>
      <c r="AB1505" s="12"/>
      <c r="AC1505" s="12"/>
      <c r="AD1505" s="12"/>
      <c r="AE1505" s="11"/>
    </row>
    <row r="1506" spans="2:31" ht="15">
      <c r="B1506" s="11"/>
      <c r="C1506" s="11"/>
      <c r="P1506" s="12"/>
      <c r="Q1506" s="12"/>
      <c r="R1506" s="12"/>
      <c r="S1506" s="12"/>
      <c r="T1506" s="12"/>
      <c r="U1506" s="12"/>
      <c r="V1506" s="12"/>
      <c r="W1506" s="12"/>
      <c r="X1506" s="12"/>
      <c r="Y1506" s="12"/>
      <c r="Z1506" s="12"/>
      <c r="AA1506" s="12"/>
      <c r="AB1506" s="12"/>
      <c r="AC1506" s="12"/>
      <c r="AD1506" s="12"/>
      <c r="AE1506" s="11"/>
    </row>
    <row r="1507" spans="2:31" ht="15">
      <c r="B1507" s="11"/>
      <c r="C1507" s="11"/>
      <c r="P1507" s="12"/>
      <c r="Q1507" s="12"/>
      <c r="R1507" s="12"/>
      <c r="S1507" s="12"/>
      <c r="T1507" s="12"/>
      <c r="U1507" s="12"/>
      <c r="V1507" s="12"/>
      <c r="W1507" s="12"/>
      <c r="X1507" s="12"/>
      <c r="Y1507" s="12"/>
      <c r="Z1507" s="12"/>
      <c r="AA1507" s="12"/>
      <c r="AB1507" s="12"/>
      <c r="AC1507" s="12"/>
      <c r="AD1507" s="12"/>
      <c r="AE1507" s="11"/>
    </row>
    <row r="1508" spans="2:31" ht="15">
      <c r="B1508" s="11"/>
      <c r="C1508" s="11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  <c r="AA1508" s="12"/>
      <c r="AB1508" s="12"/>
      <c r="AC1508" s="12"/>
      <c r="AD1508" s="12"/>
      <c r="AE1508" s="11"/>
    </row>
    <row r="1509" spans="2:31" ht="15">
      <c r="B1509" s="11"/>
      <c r="C1509" s="11"/>
      <c r="P1509" s="12"/>
      <c r="Q1509" s="12"/>
      <c r="R1509" s="12"/>
      <c r="S1509" s="12"/>
      <c r="T1509" s="12"/>
      <c r="U1509" s="12"/>
      <c r="V1509" s="12"/>
      <c r="W1509" s="12"/>
      <c r="X1509" s="12"/>
      <c r="Y1509" s="12"/>
      <c r="Z1509" s="12"/>
      <c r="AA1509" s="12"/>
      <c r="AB1509" s="12"/>
      <c r="AC1509" s="12"/>
      <c r="AD1509" s="12"/>
      <c r="AE1509" s="11"/>
    </row>
    <row r="1510" spans="2:31" ht="15">
      <c r="B1510" s="11"/>
      <c r="C1510" s="11"/>
      <c r="P1510" s="12"/>
      <c r="Q1510" s="12"/>
      <c r="R1510" s="12"/>
      <c r="S1510" s="12"/>
      <c r="T1510" s="12"/>
      <c r="U1510" s="12"/>
      <c r="V1510" s="12"/>
      <c r="W1510" s="12"/>
      <c r="X1510" s="12"/>
      <c r="Y1510" s="12"/>
      <c r="Z1510" s="12"/>
      <c r="AA1510" s="12"/>
      <c r="AB1510" s="12"/>
      <c r="AC1510" s="12"/>
      <c r="AD1510" s="12"/>
      <c r="AE1510" s="11"/>
    </row>
    <row r="1511" spans="2:31" ht="15">
      <c r="B1511" s="11"/>
      <c r="C1511" s="11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  <c r="AA1511" s="12"/>
      <c r="AB1511" s="12"/>
      <c r="AC1511" s="12"/>
      <c r="AD1511" s="12"/>
      <c r="AE1511" s="11"/>
    </row>
    <row r="1512" spans="2:31" ht="15">
      <c r="B1512" s="11"/>
      <c r="C1512" s="11"/>
      <c r="P1512" s="12"/>
      <c r="Q1512" s="12"/>
      <c r="R1512" s="12"/>
      <c r="S1512" s="12"/>
      <c r="T1512" s="12"/>
      <c r="U1512" s="12"/>
      <c r="V1512" s="12"/>
      <c r="W1512" s="12"/>
      <c r="X1512" s="12"/>
      <c r="Y1512" s="12"/>
      <c r="Z1512" s="12"/>
      <c r="AA1512" s="12"/>
      <c r="AB1512" s="12"/>
      <c r="AC1512" s="12"/>
      <c r="AD1512" s="12"/>
      <c r="AE1512" s="11"/>
    </row>
    <row r="1513" spans="2:31" ht="15">
      <c r="B1513" s="11"/>
      <c r="C1513" s="11"/>
      <c r="P1513" s="12"/>
      <c r="Q1513" s="12"/>
      <c r="R1513" s="12"/>
      <c r="S1513" s="12"/>
      <c r="T1513" s="12"/>
      <c r="U1513" s="12"/>
      <c r="V1513" s="12"/>
      <c r="W1513" s="12"/>
      <c r="X1513" s="12"/>
      <c r="Y1513" s="12"/>
      <c r="Z1513" s="12"/>
      <c r="AA1513" s="12"/>
      <c r="AB1513" s="12"/>
      <c r="AC1513" s="12"/>
      <c r="AD1513" s="12"/>
      <c r="AE1513" s="11"/>
    </row>
    <row r="1514" spans="2:31" ht="15">
      <c r="B1514" s="11"/>
      <c r="C1514" s="11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  <c r="AA1514" s="12"/>
      <c r="AB1514" s="12"/>
      <c r="AC1514" s="12"/>
      <c r="AD1514" s="12"/>
      <c r="AE1514" s="11"/>
    </row>
    <row r="1515" spans="2:31" ht="15">
      <c r="B1515" s="11"/>
      <c r="C1515" s="11"/>
      <c r="P1515" s="12"/>
      <c r="Q1515" s="12"/>
      <c r="R1515" s="12"/>
      <c r="S1515" s="12"/>
      <c r="T1515" s="12"/>
      <c r="U1515" s="12"/>
      <c r="V1515" s="12"/>
      <c r="W1515" s="12"/>
      <c r="X1515" s="12"/>
      <c r="Y1515" s="12"/>
      <c r="Z1515" s="12"/>
      <c r="AA1515" s="12"/>
      <c r="AB1515" s="12"/>
      <c r="AC1515" s="12"/>
      <c r="AD1515" s="12"/>
      <c r="AE1515" s="11"/>
    </row>
    <row r="1516" spans="2:31" ht="15">
      <c r="B1516" s="11"/>
      <c r="C1516" s="11"/>
      <c r="P1516" s="12"/>
      <c r="Q1516" s="12"/>
      <c r="R1516" s="12"/>
      <c r="S1516" s="12"/>
      <c r="T1516" s="12"/>
      <c r="U1516" s="12"/>
      <c r="V1516" s="12"/>
      <c r="W1516" s="12"/>
      <c r="X1516" s="12"/>
      <c r="Y1516" s="12"/>
      <c r="Z1516" s="12"/>
      <c r="AA1516" s="12"/>
      <c r="AB1516" s="12"/>
      <c r="AC1516" s="12"/>
      <c r="AD1516" s="12"/>
      <c r="AE1516" s="11"/>
    </row>
    <row r="1517" spans="2:31" ht="15">
      <c r="B1517" s="11"/>
      <c r="C1517" s="11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  <c r="AA1517" s="12"/>
      <c r="AB1517" s="12"/>
      <c r="AC1517" s="12"/>
      <c r="AD1517" s="12"/>
      <c r="AE1517" s="11"/>
    </row>
    <row r="1518" spans="2:31" ht="15">
      <c r="B1518" s="11"/>
      <c r="C1518" s="11"/>
      <c r="P1518" s="12"/>
      <c r="Q1518" s="12"/>
      <c r="R1518" s="12"/>
      <c r="S1518" s="12"/>
      <c r="T1518" s="12"/>
      <c r="U1518" s="12"/>
      <c r="V1518" s="12"/>
      <c r="W1518" s="12"/>
      <c r="X1518" s="12"/>
      <c r="Y1518" s="12"/>
      <c r="Z1518" s="12"/>
      <c r="AA1518" s="12"/>
      <c r="AB1518" s="12"/>
      <c r="AC1518" s="12"/>
      <c r="AD1518" s="12"/>
      <c r="AE1518" s="11"/>
    </row>
    <row r="1519" spans="2:31" ht="15">
      <c r="B1519" s="11"/>
      <c r="C1519" s="11"/>
      <c r="P1519" s="12"/>
      <c r="Q1519" s="12"/>
      <c r="R1519" s="12"/>
      <c r="S1519" s="12"/>
      <c r="T1519" s="12"/>
      <c r="U1519" s="12"/>
      <c r="V1519" s="12"/>
      <c r="W1519" s="12"/>
      <c r="X1519" s="12"/>
      <c r="Y1519" s="12"/>
      <c r="Z1519" s="12"/>
      <c r="AA1519" s="12"/>
      <c r="AB1519" s="12"/>
      <c r="AC1519" s="12"/>
      <c r="AD1519" s="12"/>
      <c r="AE1519" s="11"/>
    </row>
    <row r="1520" spans="2:31" ht="15">
      <c r="B1520" s="11"/>
      <c r="C1520" s="11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  <c r="AA1520" s="12"/>
      <c r="AB1520" s="12"/>
      <c r="AC1520" s="12"/>
      <c r="AD1520" s="12"/>
      <c r="AE1520" s="11"/>
    </row>
    <row r="1521" spans="2:31" ht="15">
      <c r="B1521" s="11"/>
      <c r="C1521" s="11"/>
      <c r="P1521" s="12"/>
      <c r="Q1521" s="12"/>
      <c r="R1521" s="12"/>
      <c r="S1521" s="12"/>
      <c r="T1521" s="12"/>
      <c r="U1521" s="12"/>
      <c r="V1521" s="12"/>
      <c r="W1521" s="12"/>
      <c r="X1521" s="12"/>
      <c r="Y1521" s="12"/>
      <c r="Z1521" s="12"/>
      <c r="AA1521" s="12"/>
      <c r="AB1521" s="12"/>
      <c r="AC1521" s="12"/>
      <c r="AD1521" s="12"/>
      <c r="AE1521" s="11"/>
    </row>
    <row r="1522" spans="2:31" ht="15">
      <c r="B1522" s="11"/>
      <c r="C1522" s="11"/>
      <c r="P1522" s="12"/>
      <c r="Q1522" s="12"/>
      <c r="R1522" s="12"/>
      <c r="S1522" s="12"/>
      <c r="T1522" s="12"/>
      <c r="U1522" s="12"/>
      <c r="V1522" s="12"/>
      <c r="W1522" s="12"/>
      <c r="X1522" s="12"/>
      <c r="Y1522" s="12"/>
      <c r="Z1522" s="12"/>
      <c r="AA1522" s="12"/>
      <c r="AB1522" s="12"/>
      <c r="AC1522" s="12"/>
      <c r="AD1522" s="12"/>
      <c r="AE1522" s="11"/>
    </row>
    <row r="1523" spans="2:31" ht="15">
      <c r="B1523" s="11"/>
      <c r="C1523" s="11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  <c r="AA1523" s="12"/>
      <c r="AB1523" s="12"/>
      <c r="AC1523" s="12"/>
      <c r="AD1523" s="12"/>
      <c r="AE1523" s="11"/>
    </row>
    <row r="1524" spans="2:31" ht="15">
      <c r="B1524" s="11"/>
      <c r="C1524" s="11"/>
      <c r="P1524" s="12"/>
      <c r="Q1524" s="12"/>
      <c r="R1524" s="12"/>
      <c r="S1524" s="12"/>
      <c r="T1524" s="12"/>
      <c r="U1524" s="12"/>
      <c r="V1524" s="12"/>
      <c r="W1524" s="12"/>
      <c r="X1524" s="12"/>
      <c r="Y1524" s="12"/>
      <c r="Z1524" s="12"/>
      <c r="AA1524" s="12"/>
      <c r="AB1524" s="12"/>
      <c r="AC1524" s="12"/>
      <c r="AD1524" s="12"/>
      <c r="AE1524" s="11"/>
    </row>
    <row r="1525" spans="2:31" ht="15">
      <c r="B1525" s="11"/>
      <c r="C1525" s="11"/>
      <c r="P1525" s="12"/>
      <c r="Q1525" s="12"/>
      <c r="R1525" s="12"/>
      <c r="S1525" s="12"/>
      <c r="T1525" s="12"/>
      <c r="U1525" s="12"/>
      <c r="V1525" s="12"/>
      <c r="W1525" s="12"/>
      <c r="X1525" s="12"/>
      <c r="Y1525" s="12"/>
      <c r="Z1525" s="12"/>
      <c r="AA1525" s="12"/>
      <c r="AB1525" s="12"/>
      <c r="AC1525" s="12"/>
      <c r="AD1525" s="12"/>
      <c r="AE1525" s="11"/>
    </row>
    <row r="1526" spans="2:31" ht="15">
      <c r="B1526" s="11"/>
      <c r="C1526" s="11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  <c r="AA1526" s="12"/>
      <c r="AB1526" s="12"/>
      <c r="AC1526" s="12"/>
      <c r="AD1526" s="12"/>
      <c r="AE1526" s="11"/>
    </row>
    <row r="1527" spans="2:31" ht="15">
      <c r="B1527" s="11"/>
      <c r="C1527" s="11"/>
      <c r="P1527" s="12"/>
      <c r="Q1527" s="12"/>
      <c r="R1527" s="12"/>
      <c r="S1527" s="12"/>
      <c r="T1527" s="12"/>
      <c r="U1527" s="12"/>
      <c r="V1527" s="12"/>
      <c r="W1527" s="12"/>
      <c r="X1527" s="12"/>
      <c r="Y1527" s="12"/>
      <c r="Z1527" s="12"/>
      <c r="AA1527" s="12"/>
      <c r="AB1527" s="12"/>
      <c r="AC1527" s="12"/>
      <c r="AD1527" s="12"/>
      <c r="AE1527" s="11"/>
    </row>
    <row r="1528" spans="2:31" ht="15">
      <c r="B1528" s="11"/>
      <c r="C1528" s="11"/>
      <c r="P1528" s="12"/>
      <c r="Q1528" s="12"/>
      <c r="R1528" s="12"/>
      <c r="S1528" s="12"/>
      <c r="T1528" s="12"/>
      <c r="U1528" s="12"/>
      <c r="V1528" s="12"/>
      <c r="W1528" s="12"/>
      <c r="X1528" s="12"/>
      <c r="Y1528" s="12"/>
      <c r="Z1528" s="12"/>
      <c r="AA1528" s="12"/>
      <c r="AB1528" s="12"/>
      <c r="AC1528" s="12"/>
      <c r="AD1528" s="12"/>
      <c r="AE1528" s="11"/>
    </row>
    <row r="1529" spans="2:31" ht="15">
      <c r="B1529" s="11"/>
      <c r="C1529" s="11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  <c r="AA1529" s="12"/>
      <c r="AB1529" s="12"/>
      <c r="AC1529" s="12"/>
      <c r="AD1529" s="12"/>
      <c r="AE1529" s="11"/>
    </row>
    <row r="1530" spans="2:31" ht="15">
      <c r="B1530" s="11"/>
      <c r="C1530" s="11"/>
      <c r="P1530" s="12"/>
      <c r="Q1530" s="12"/>
      <c r="R1530" s="12"/>
      <c r="S1530" s="12"/>
      <c r="T1530" s="12"/>
      <c r="U1530" s="12"/>
      <c r="V1530" s="12"/>
      <c r="W1530" s="12"/>
      <c r="X1530" s="12"/>
      <c r="Y1530" s="12"/>
      <c r="Z1530" s="12"/>
      <c r="AA1530" s="12"/>
      <c r="AB1530" s="12"/>
      <c r="AC1530" s="12"/>
      <c r="AD1530" s="12"/>
      <c r="AE1530" s="11"/>
    </row>
    <row r="1531" spans="2:31" ht="15">
      <c r="B1531" s="11"/>
      <c r="C1531" s="11"/>
      <c r="P1531" s="12"/>
      <c r="Q1531" s="12"/>
      <c r="R1531" s="12"/>
      <c r="S1531" s="12"/>
      <c r="T1531" s="12"/>
      <c r="U1531" s="12"/>
      <c r="V1531" s="12"/>
      <c r="W1531" s="12"/>
      <c r="X1531" s="12"/>
      <c r="Y1531" s="12"/>
      <c r="Z1531" s="12"/>
      <c r="AA1531" s="12"/>
      <c r="AB1531" s="12"/>
      <c r="AC1531" s="12"/>
      <c r="AD1531" s="12"/>
      <c r="AE1531" s="11"/>
    </row>
    <row r="1532" spans="2:31" ht="15">
      <c r="B1532" s="11"/>
      <c r="C1532" s="11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  <c r="AA1532" s="12"/>
      <c r="AB1532" s="12"/>
      <c r="AC1532" s="12"/>
      <c r="AD1532" s="12"/>
      <c r="AE1532" s="11"/>
    </row>
    <row r="1533" spans="2:31" ht="15">
      <c r="B1533" s="11"/>
      <c r="C1533" s="11"/>
      <c r="P1533" s="12"/>
      <c r="Q1533" s="12"/>
      <c r="R1533" s="12"/>
      <c r="S1533" s="12"/>
      <c r="T1533" s="12"/>
      <c r="U1533" s="12"/>
      <c r="V1533" s="12"/>
      <c r="W1533" s="12"/>
      <c r="X1533" s="12"/>
      <c r="Y1533" s="12"/>
      <c r="Z1533" s="12"/>
      <c r="AA1533" s="12"/>
      <c r="AB1533" s="12"/>
      <c r="AC1533" s="12"/>
      <c r="AD1533" s="12"/>
      <c r="AE1533" s="11"/>
    </row>
    <row r="1534" spans="2:31" ht="15">
      <c r="B1534" s="11"/>
      <c r="C1534" s="11"/>
      <c r="P1534" s="12"/>
      <c r="Q1534" s="12"/>
      <c r="R1534" s="12"/>
      <c r="S1534" s="12"/>
      <c r="T1534" s="12"/>
      <c r="U1534" s="12"/>
      <c r="V1534" s="12"/>
      <c r="W1534" s="12"/>
      <c r="X1534" s="12"/>
      <c r="Y1534" s="12"/>
      <c r="Z1534" s="12"/>
      <c r="AA1534" s="12"/>
      <c r="AB1534" s="12"/>
      <c r="AC1534" s="12"/>
      <c r="AD1534" s="12"/>
      <c r="AE1534" s="11"/>
    </row>
    <row r="1535" spans="2:31" ht="15">
      <c r="B1535" s="11"/>
      <c r="C1535" s="11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  <c r="AA1535" s="12"/>
      <c r="AB1535" s="12"/>
      <c r="AC1535" s="12"/>
      <c r="AD1535" s="12"/>
      <c r="AE1535" s="11"/>
    </row>
    <row r="1536" spans="2:31" ht="15">
      <c r="B1536" s="11"/>
      <c r="C1536" s="11"/>
      <c r="P1536" s="12"/>
      <c r="Q1536" s="12"/>
      <c r="R1536" s="12"/>
      <c r="S1536" s="12"/>
      <c r="T1536" s="12"/>
      <c r="U1536" s="12"/>
      <c r="V1536" s="12"/>
      <c r="W1536" s="12"/>
      <c r="X1536" s="12"/>
      <c r="Y1536" s="12"/>
      <c r="Z1536" s="12"/>
      <c r="AA1536" s="12"/>
      <c r="AB1536" s="12"/>
      <c r="AC1536" s="12"/>
      <c r="AD1536" s="12"/>
      <c r="AE1536" s="11"/>
    </row>
    <row r="1537" spans="2:31" ht="15">
      <c r="B1537" s="11"/>
      <c r="C1537" s="11"/>
      <c r="P1537" s="12"/>
      <c r="Q1537" s="12"/>
      <c r="R1537" s="12"/>
      <c r="S1537" s="12"/>
      <c r="T1537" s="12"/>
      <c r="U1537" s="12"/>
      <c r="V1537" s="12"/>
      <c r="W1537" s="12"/>
      <c r="X1537" s="12"/>
      <c r="Y1537" s="12"/>
      <c r="Z1537" s="12"/>
      <c r="AA1537" s="12"/>
      <c r="AB1537" s="12"/>
      <c r="AC1537" s="12"/>
      <c r="AD1537" s="12"/>
      <c r="AE1537" s="11"/>
    </row>
    <row r="1538" spans="2:31" ht="15">
      <c r="B1538" s="11"/>
      <c r="C1538" s="11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  <c r="AA1538" s="12"/>
      <c r="AB1538" s="12"/>
      <c r="AC1538" s="12"/>
      <c r="AD1538" s="12"/>
      <c r="AE1538" s="11"/>
    </row>
    <row r="1539" spans="2:31" ht="15">
      <c r="B1539" s="11"/>
      <c r="C1539" s="11"/>
      <c r="P1539" s="12"/>
      <c r="Q1539" s="12"/>
      <c r="R1539" s="12"/>
      <c r="S1539" s="12"/>
      <c r="T1539" s="12"/>
      <c r="U1539" s="12"/>
      <c r="V1539" s="12"/>
      <c r="W1539" s="12"/>
      <c r="X1539" s="12"/>
      <c r="Y1539" s="12"/>
      <c r="Z1539" s="12"/>
      <c r="AA1539" s="12"/>
      <c r="AB1539" s="12"/>
      <c r="AC1539" s="12"/>
      <c r="AD1539" s="12"/>
      <c r="AE1539" s="11"/>
    </row>
    <row r="1540" spans="2:31" ht="15">
      <c r="B1540" s="11"/>
      <c r="C1540" s="11"/>
      <c r="P1540" s="12"/>
      <c r="Q1540" s="12"/>
      <c r="R1540" s="12"/>
      <c r="S1540" s="12"/>
      <c r="T1540" s="12"/>
      <c r="U1540" s="12"/>
      <c r="V1540" s="12"/>
      <c r="W1540" s="12"/>
      <c r="X1540" s="12"/>
      <c r="Y1540" s="12"/>
      <c r="Z1540" s="12"/>
      <c r="AA1540" s="12"/>
      <c r="AB1540" s="12"/>
      <c r="AC1540" s="12"/>
      <c r="AD1540" s="12"/>
      <c r="AE1540" s="11"/>
    </row>
    <row r="1541" spans="2:31" ht="15">
      <c r="B1541" s="11"/>
      <c r="C1541" s="11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  <c r="AA1541" s="12"/>
      <c r="AB1541" s="12"/>
      <c r="AC1541" s="12"/>
      <c r="AD1541" s="12"/>
      <c r="AE1541" s="11"/>
    </row>
    <row r="1542" spans="2:31" ht="15">
      <c r="B1542" s="11"/>
      <c r="C1542" s="11"/>
      <c r="P1542" s="12"/>
      <c r="Q1542" s="12"/>
      <c r="R1542" s="12"/>
      <c r="S1542" s="12"/>
      <c r="T1542" s="12"/>
      <c r="U1542" s="12"/>
      <c r="V1542" s="12"/>
      <c r="W1542" s="12"/>
      <c r="X1542" s="12"/>
      <c r="Y1542" s="12"/>
      <c r="Z1542" s="12"/>
      <c r="AA1542" s="12"/>
      <c r="AB1542" s="12"/>
      <c r="AC1542" s="12"/>
      <c r="AD1542" s="12"/>
      <c r="AE1542" s="11"/>
    </row>
    <row r="1543" spans="2:31" ht="15">
      <c r="B1543" s="11"/>
      <c r="C1543" s="11"/>
      <c r="P1543" s="12"/>
      <c r="Q1543" s="12"/>
      <c r="R1543" s="12"/>
      <c r="S1543" s="12"/>
      <c r="T1543" s="12"/>
      <c r="U1543" s="12"/>
      <c r="V1543" s="12"/>
      <c r="W1543" s="12"/>
      <c r="X1543" s="12"/>
      <c r="Y1543" s="12"/>
      <c r="Z1543" s="12"/>
      <c r="AA1543" s="12"/>
      <c r="AB1543" s="12"/>
      <c r="AC1543" s="12"/>
      <c r="AD1543" s="12"/>
      <c r="AE1543" s="11"/>
    </row>
    <row r="1544" spans="2:31" ht="15">
      <c r="B1544" s="11"/>
      <c r="C1544" s="11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  <c r="AA1544" s="12"/>
      <c r="AB1544" s="12"/>
      <c r="AC1544" s="12"/>
      <c r="AD1544" s="12"/>
      <c r="AE1544" s="11"/>
    </row>
    <row r="1545" spans="2:31" ht="15">
      <c r="B1545" s="11"/>
      <c r="C1545" s="11"/>
      <c r="P1545" s="12"/>
      <c r="Q1545" s="12"/>
      <c r="R1545" s="12"/>
      <c r="S1545" s="12"/>
      <c r="T1545" s="12"/>
      <c r="U1545" s="12"/>
      <c r="V1545" s="12"/>
      <c r="W1545" s="12"/>
      <c r="X1545" s="12"/>
      <c r="Y1545" s="12"/>
      <c r="Z1545" s="12"/>
      <c r="AA1545" s="12"/>
      <c r="AB1545" s="12"/>
      <c r="AC1545" s="12"/>
      <c r="AD1545" s="12"/>
      <c r="AE1545" s="11"/>
    </row>
    <row r="1546" spans="2:31" ht="15">
      <c r="B1546" s="11"/>
      <c r="C1546" s="11"/>
      <c r="P1546" s="12"/>
      <c r="Q1546" s="12"/>
      <c r="R1546" s="12"/>
      <c r="S1546" s="12"/>
      <c r="T1546" s="12"/>
      <c r="U1546" s="12"/>
      <c r="V1546" s="12"/>
      <c r="W1546" s="12"/>
      <c r="X1546" s="12"/>
      <c r="Y1546" s="12"/>
      <c r="Z1546" s="12"/>
      <c r="AA1546" s="12"/>
      <c r="AB1546" s="12"/>
      <c r="AC1546" s="12"/>
      <c r="AD1546" s="12"/>
      <c r="AE1546" s="11"/>
    </row>
    <row r="1547" spans="2:31" ht="15">
      <c r="B1547" s="11"/>
      <c r="C1547" s="11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  <c r="AA1547" s="12"/>
      <c r="AB1547" s="12"/>
      <c r="AC1547" s="12"/>
      <c r="AD1547" s="12"/>
      <c r="AE1547" s="11"/>
    </row>
    <row r="1548" spans="2:31" ht="15">
      <c r="B1548" s="11"/>
      <c r="C1548" s="11"/>
      <c r="P1548" s="12"/>
      <c r="Q1548" s="12"/>
      <c r="R1548" s="12"/>
      <c r="S1548" s="12"/>
      <c r="T1548" s="12"/>
      <c r="U1548" s="12"/>
      <c r="V1548" s="12"/>
      <c r="W1548" s="12"/>
      <c r="X1548" s="12"/>
      <c r="Y1548" s="12"/>
      <c r="Z1548" s="12"/>
      <c r="AA1548" s="12"/>
      <c r="AB1548" s="12"/>
      <c r="AC1548" s="12"/>
      <c r="AD1548" s="12"/>
      <c r="AE1548" s="11"/>
    </row>
    <row r="1549" spans="2:31" ht="15">
      <c r="B1549" s="11"/>
      <c r="C1549" s="11"/>
      <c r="P1549" s="12"/>
      <c r="Q1549" s="12"/>
      <c r="R1549" s="12"/>
      <c r="S1549" s="12"/>
      <c r="T1549" s="12"/>
      <c r="U1549" s="12"/>
      <c r="V1549" s="12"/>
      <c r="W1549" s="12"/>
      <c r="X1549" s="12"/>
      <c r="Y1549" s="12"/>
      <c r="Z1549" s="12"/>
      <c r="AA1549" s="12"/>
      <c r="AB1549" s="12"/>
      <c r="AC1549" s="12"/>
      <c r="AD1549" s="12"/>
      <c r="AE1549" s="11"/>
    </row>
    <row r="1550" spans="2:31" ht="15">
      <c r="B1550" s="11"/>
      <c r="C1550" s="11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  <c r="AA1550" s="12"/>
      <c r="AB1550" s="12"/>
      <c r="AC1550" s="12"/>
      <c r="AD1550" s="12"/>
      <c r="AE1550" s="11"/>
    </row>
    <row r="1551" spans="2:31" ht="15">
      <c r="B1551" s="11"/>
      <c r="C1551" s="11"/>
      <c r="P1551" s="12"/>
      <c r="Q1551" s="12"/>
      <c r="R1551" s="12"/>
      <c r="S1551" s="12"/>
      <c r="T1551" s="12"/>
      <c r="U1551" s="12"/>
      <c r="V1551" s="12"/>
      <c r="W1551" s="12"/>
      <c r="X1551" s="12"/>
      <c r="Y1551" s="12"/>
      <c r="Z1551" s="12"/>
      <c r="AA1551" s="12"/>
      <c r="AB1551" s="12"/>
      <c r="AC1551" s="12"/>
      <c r="AD1551" s="12"/>
      <c r="AE1551" s="11"/>
    </row>
    <row r="1552" spans="2:31" ht="15">
      <c r="B1552" s="11"/>
      <c r="C1552" s="11"/>
      <c r="P1552" s="12"/>
      <c r="Q1552" s="12"/>
      <c r="R1552" s="12"/>
      <c r="S1552" s="12"/>
      <c r="T1552" s="12"/>
      <c r="U1552" s="12"/>
      <c r="V1552" s="12"/>
      <c r="W1552" s="12"/>
      <c r="X1552" s="12"/>
      <c r="Y1552" s="12"/>
      <c r="Z1552" s="12"/>
      <c r="AA1552" s="12"/>
      <c r="AB1552" s="12"/>
      <c r="AC1552" s="12"/>
      <c r="AD1552" s="12"/>
      <c r="AE1552" s="11"/>
    </row>
    <row r="1553" spans="2:31" ht="15">
      <c r="B1553" s="11"/>
      <c r="C1553" s="11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  <c r="AA1553" s="12"/>
      <c r="AB1553" s="12"/>
      <c r="AC1553" s="12"/>
      <c r="AD1553" s="12"/>
      <c r="AE1553" s="11"/>
    </row>
    <row r="1554" spans="2:31" ht="15">
      <c r="B1554" s="11"/>
      <c r="C1554" s="11"/>
      <c r="P1554" s="12"/>
      <c r="Q1554" s="12"/>
      <c r="R1554" s="12"/>
      <c r="S1554" s="12"/>
      <c r="T1554" s="12"/>
      <c r="U1554" s="12"/>
      <c r="V1554" s="12"/>
      <c r="W1554" s="12"/>
      <c r="X1554" s="12"/>
      <c r="Y1554" s="12"/>
      <c r="Z1554" s="12"/>
      <c r="AA1554" s="12"/>
      <c r="AB1554" s="12"/>
      <c r="AC1554" s="12"/>
      <c r="AD1554" s="12"/>
      <c r="AE1554" s="11"/>
    </row>
    <row r="1555" spans="2:31" ht="15">
      <c r="B1555" s="11"/>
      <c r="C1555" s="11"/>
      <c r="P1555" s="12"/>
      <c r="Q1555" s="12"/>
      <c r="R1555" s="12"/>
      <c r="S1555" s="12"/>
      <c r="T1555" s="12"/>
      <c r="U1555" s="12"/>
      <c r="V1555" s="12"/>
      <c r="W1555" s="12"/>
      <c r="X1555" s="12"/>
      <c r="Y1555" s="12"/>
      <c r="Z1555" s="12"/>
      <c r="AA1555" s="12"/>
      <c r="AB1555" s="12"/>
      <c r="AC1555" s="12"/>
      <c r="AD1555" s="12"/>
      <c r="AE1555" s="11"/>
    </row>
    <row r="1556" spans="2:31" ht="15">
      <c r="B1556" s="11"/>
      <c r="C1556" s="11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  <c r="AA1556" s="12"/>
      <c r="AB1556" s="12"/>
      <c r="AC1556" s="12"/>
      <c r="AD1556" s="12"/>
      <c r="AE1556" s="11"/>
    </row>
    <row r="1557" spans="2:31" ht="15">
      <c r="B1557" s="11"/>
      <c r="C1557" s="11"/>
      <c r="P1557" s="12"/>
      <c r="Q1557" s="12"/>
      <c r="R1557" s="12"/>
      <c r="S1557" s="12"/>
      <c r="T1557" s="12"/>
      <c r="U1557" s="12"/>
      <c r="V1557" s="12"/>
      <c r="W1557" s="12"/>
      <c r="X1557" s="12"/>
      <c r="Y1557" s="12"/>
      <c r="Z1557" s="12"/>
      <c r="AA1557" s="12"/>
      <c r="AB1557" s="12"/>
      <c r="AC1557" s="12"/>
      <c r="AD1557" s="12"/>
      <c r="AE1557" s="11"/>
    </row>
    <row r="1558" spans="2:31" ht="15">
      <c r="B1558" s="11"/>
      <c r="C1558" s="11"/>
      <c r="P1558" s="12"/>
      <c r="Q1558" s="12"/>
      <c r="R1558" s="12"/>
      <c r="S1558" s="12"/>
      <c r="T1558" s="12"/>
      <c r="U1558" s="12"/>
      <c r="V1558" s="12"/>
      <c r="W1558" s="12"/>
      <c r="X1558" s="12"/>
      <c r="Y1558" s="12"/>
      <c r="Z1558" s="12"/>
      <c r="AA1558" s="12"/>
      <c r="AB1558" s="12"/>
      <c r="AC1558" s="12"/>
      <c r="AD1558" s="12"/>
      <c r="AE1558" s="11"/>
    </row>
    <row r="1559" spans="2:31" ht="15">
      <c r="B1559" s="11"/>
      <c r="C1559" s="11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1"/>
    </row>
    <row r="1560" spans="2:31" ht="15">
      <c r="B1560" s="11"/>
      <c r="C1560" s="11"/>
      <c r="P1560" s="12"/>
      <c r="Q1560" s="12"/>
      <c r="R1560" s="12"/>
      <c r="S1560" s="12"/>
      <c r="T1560" s="12"/>
      <c r="U1560" s="12"/>
      <c r="V1560" s="12"/>
      <c r="W1560" s="12"/>
      <c r="X1560" s="12"/>
      <c r="Y1560" s="12"/>
      <c r="Z1560" s="12"/>
      <c r="AA1560" s="12"/>
      <c r="AB1560" s="12"/>
      <c r="AC1560" s="12"/>
      <c r="AD1560" s="12"/>
      <c r="AE1560" s="11"/>
    </row>
    <row r="1561" spans="2:31" ht="15">
      <c r="B1561" s="11"/>
      <c r="C1561" s="11"/>
      <c r="P1561" s="12"/>
      <c r="Q1561" s="12"/>
      <c r="R1561" s="12"/>
      <c r="S1561" s="12"/>
      <c r="T1561" s="12"/>
      <c r="U1561" s="12"/>
      <c r="V1561" s="12"/>
      <c r="W1561" s="12"/>
      <c r="X1561" s="12"/>
      <c r="Y1561" s="12"/>
      <c r="Z1561" s="12"/>
      <c r="AA1561" s="12"/>
      <c r="AB1561" s="12"/>
      <c r="AC1561" s="12"/>
      <c r="AD1561" s="12"/>
      <c r="AE1561" s="11"/>
    </row>
    <row r="1562" spans="2:31" ht="15">
      <c r="B1562" s="11"/>
      <c r="C1562" s="11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  <c r="AA1562" s="12"/>
      <c r="AB1562" s="12"/>
      <c r="AC1562" s="12"/>
      <c r="AD1562" s="12"/>
      <c r="AE1562" s="11"/>
    </row>
    <row r="1563" spans="2:31" ht="15">
      <c r="B1563" s="11"/>
      <c r="C1563" s="11"/>
      <c r="P1563" s="12"/>
      <c r="Q1563" s="12"/>
      <c r="R1563" s="12"/>
      <c r="S1563" s="12"/>
      <c r="T1563" s="12"/>
      <c r="U1563" s="12"/>
      <c r="V1563" s="12"/>
      <c r="W1563" s="12"/>
      <c r="X1563" s="12"/>
      <c r="Y1563" s="12"/>
      <c r="Z1563" s="12"/>
      <c r="AA1563" s="12"/>
      <c r="AB1563" s="12"/>
      <c r="AC1563" s="12"/>
      <c r="AD1563" s="12"/>
      <c r="AE1563" s="11"/>
    </row>
    <row r="1564" spans="2:31" ht="15">
      <c r="B1564" s="11"/>
      <c r="C1564" s="11"/>
      <c r="P1564" s="12"/>
      <c r="Q1564" s="12"/>
      <c r="R1564" s="12"/>
      <c r="S1564" s="12"/>
      <c r="T1564" s="12"/>
      <c r="U1564" s="12"/>
      <c r="V1564" s="12"/>
      <c r="W1564" s="12"/>
      <c r="X1564" s="12"/>
      <c r="Y1564" s="12"/>
      <c r="Z1564" s="12"/>
      <c r="AA1564" s="12"/>
      <c r="AB1564" s="12"/>
      <c r="AC1564" s="12"/>
      <c r="AD1564" s="12"/>
      <c r="AE1564" s="11"/>
    </row>
    <row r="1565" spans="2:31" ht="15">
      <c r="B1565" s="11"/>
      <c r="C1565" s="11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  <c r="AA1565" s="12"/>
      <c r="AB1565" s="12"/>
      <c r="AC1565" s="12"/>
      <c r="AD1565" s="12"/>
      <c r="AE1565" s="11"/>
    </row>
    <row r="1566" spans="2:31" ht="15">
      <c r="B1566" s="11"/>
      <c r="C1566" s="11"/>
      <c r="P1566" s="12"/>
      <c r="Q1566" s="12"/>
      <c r="R1566" s="12"/>
      <c r="S1566" s="12"/>
      <c r="T1566" s="12"/>
      <c r="U1566" s="12"/>
      <c r="V1566" s="12"/>
      <c r="W1566" s="12"/>
      <c r="X1566" s="12"/>
      <c r="Y1566" s="12"/>
      <c r="Z1566" s="12"/>
      <c r="AA1566" s="12"/>
      <c r="AB1566" s="12"/>
      <c r="AC1566" s="12"/>
      <c r="AD1566" s="12"/>
      <c r="AE1566" s="11"/>
    </row>
    <row r="1567" spans="2:31" ht="15">
      <c r="B1567" s="11"/>
      <c r="C1567" s="11"/>
      <c r="P1567" s="12"/>
      <c r="Q1567" s="12"/>
      <c r="R1567" s="12"/>
      <c r="S1567" s="12"/>
      <c r="T1567" s="12"/>
      <c r="U1567" s="12"/>
      <c r="V1567" s="12"/>
      <c r="W1567" s="12"/>
      <c r="X1567" s="12"/>
      <c r="Y1567" s="12"/>
      <c r="Z1567" s="12"/>
      <c r="AA1567" s="12"/>
      <c r="AB1567" s="12"/>
      <c r="AC1567" s="12"/>
      <c r="AD1567" s="12"/>
      <c r="AE1567" s="11"/>
    </row>
    <row r="1568" spans="2:31" ht="15">
      <c r="B1568" s="11"/>
      <c r="C1568" s="11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  <c r="AA1568" s="12"/>
      <c r="AB1568" s="12"/>
      <c r="AC1568" s="12"/>
      <c r="AD1568" s="12"/>
      <c r="AE1568" s="11"/>
    </row>
    <row r="1569" spans="2:31" ht="15">
      <c r="B1569" s="11"/>
      <c r="C1569" s="11"/>
      <c r="P1569" s="12"/>
      <c r="Q1569" s="12"/>
      <c r="R1569" s="12"/>
      <c r="S1569" s="12"/>
      <c r="T1569" s="12"/>
      <c r="U1569" s="12"/>
      <c r="V1569" s="12"/>
      <c r="W1569" s="12"/>
      <c r="X1569" s="12"/>
      <c r="Y1569" s="12"/>
      <c r="Z1569" s="12"/>
      <c r="AA1569" s="12"/>
      <c r="AB1569" s="12"/>
      <c r="AC1569" s="12"/>
      <c r="AD1569" s="12"/>
      <c r="AE1569" s="11"/>
    </row>
    <row r="1570" spans="2:31" ht="15">
      <c r="B1570" s="11"/>
      <c r="C1570" s="11"/>
      <c r="P1570" s="12"/>
      <c r="Q1570" s="12"/>
      <c r="R1570" s="12"/>
      <c r="S1570" s="12"/>
      <c r="T1570" s="12"/>
      <c r="U1570" s="12"/>
      <c r="V1570" s="12"/>
      <c r="W1570" s="12"/>
      <c r="X1570" s="12"/>
      <c r="Y1570" s="12"/>
      <c r="Z1570" s="12"/>
      <c r="AA1570" s="12"/>
      <c r="AB1570" s="12"/>
      <c r="AC1570" s="12"/>
      <c r="AD1570" s="12"/>
      <c r="AE1570" s="11"/>
    </row>
    <row r="1571" spans="2:31" ht="15">
      <c r="B1571" s="11"/>
      <c r="C1571" s="11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  <c r="AA1571" s="12"/>
      <c r="AB1571" s="12"/>
      <c r="AC1571" s="12"/>
      <c r="AD1571" s="12"/>
      <c r="AE1571" s="11"/>
    </row>
    <row r="1572" spans="2:31" ht="15">
      <c r="B1572" s="11"/>
      <c r="C1572" s="11"/>
      <c r="P1572" s="12"/>
      <c r="Q1572" s="12"/>
      <c r="R1572" s="12"/>
      <c r="S1572" s="12"/>
      <c r="T1572" s="12"/>
      <c r="U1572" s="12"/>
      <c r="V1572" s="12"/>
      <c r="W1572" s="12"/>
      <c r="X1572" s="12"/>
      <c r="Y1572" s="12"/>
      <c r="Z1572" s="12"/>
      <c r="AA1572" s="12"/>
      <c r="AB1572" s="12"/>
      <c r="AC1572" s="12"/>
      <c r="AD1572" s="12"/>
      <c r="AE1572" s="11"/>
    </row>
    <row r="1573" spans="2:31" ht="15">
      <c r="B1573" s="11"/>
      <c r="C1573" s="11"/>
      <c r="P1573" s="12"/>
      <c r="Q1573" s="12"/>
      <c r="R1573" s="12"/>
      <c r="S1573" s="12"/>
      <c r="T1573" s="12"/>
      <c r="U1573" s="12"/>
      <c r="V1573" s="12"/>
      <c r="W1573" s="12"/>
      <c r="X1573" s="12"/>
      <c r="Y1573" s="12"/>
      <c r="Z1573" s="12"/>
      <c r="AA1573" s="12"/>
      <c r="AB1573" s="12"/>
      <c r="AC1573" s="12"/>
      <c r="AD1573" s="12"/>
      <c r="AE1573" s="11"/>
    </row>
    <row r="1574" spans="2:31" ht="15">
      <c r="B1574" s="11"/>
      <c r="C1574" s="11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  <c r="AA1574" s="12"/>
      <c r="AB1574" s="12"/>
      <c r="AC1574" s="12"/>
      <c r="AD1574" s="12"/>
      <c r="AE1574" s="11"/>
    </row>
    <row r="1575" spans="2:31" ht="15">
      <c r="B1575" s="11"/>
      <c r="C1575" s="11"/>
      <c r="P1575" s="12"/>
      <c r="Q1575" s="12"/>
      <c r="R1575" s="12"/>
      <c r="S1575" s="12"/>
      <c r="T1575" s="12"/>
      <c r="U1575" s="12"/>
      <c r="V1575" s="12"/>
      <c r="W1575" s="12"/>
      <c r="X1575" s="12"/>
      <c r="Y1575" s="12"/>
      <c r="Z1575" s="12"/>
      <c r="AA1575" s="12"/>
      <c r="AB1575" s="12"/>
      <c r="AC1575" s="12"/>
      <c r="AD1575" s="12"/>
      <c r="AE1575" s="11"/>
    </row>
    <row r="1576" spans="2:31" ht="15">
      <c r="B1576" s="11"/>
      <c r="C1576" s="11"/>
      <c r="P1576" s="12"/>
      <c r="Q1576" s="12"/>
      <c r="R1576" s="12"/>
      <c r="S1576" s="12"/>
      <c r="T1576" s="12"/>
      <c r="U1576" s="12"/>
      <c r="V1576" s="12"/>
      <c r="W1576" s="12"/>
      <c r="X1576" s="12"/>
      <c r="Y1576" s="12"/>
      <c r="Z1576" s="12"/>
      <c r="AA1576" s="12"/>
      <c r="AB1576" s="12"/>
      <c r="AC1576" s="12"/>
      <c r="AD1576" s="12"/>
      <c r="AE1576" s="11"/>
    </row>
    <row r="1577" spans="2:31" ht="15">
      <c r="B1577" s="11"/>
      <c r="C1577" s="11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  <c r="AA1577" s="12"/>
      <c r="AB1577" s="12"/>
      <c r="AC1577" s="12"/>
      <c r="AD1577" s="12"/>
      <c r="AE1577" s="11"/>
    </row>
    <row r="1578" spans="2:31" ht="15">
      <c r="B1578" s="11"/>
      <c r="C1578" s="11"/>
      <c r="P1578" s="12"/>
      <c r="Q1578" s="12"/>
      <c r="R1578" s="12"/>
      <c r="S1578" s="12"/>
      <c r="T1578" s="12"/>
      <c r="U1578" s="12"/>
      <c r="V1578" s="12"/>
      <c r="W1578" s="12"/>
      <c r="X1578" s="12"/>
      <c r="Y1578" s="12"/>
      <c r="Z1578" s="12"/>
      <c r="AA1578" s="12"/>
      <c r="AB1578" s="12"/>
      <c r="AC1578" s="12"/>
      <c r="AD1578" s="12"/>
      <c r="AE1578" s="11"/>
    </row>
    <row r="1579" spans="2:31" ht="15">
      <c r="B1579" s="11"/>
      <c r="C1579" s="11"/>
      <c r="P1579" s="12"/>
      <c r="Q1579" s="12"/>
      <c r="R1579" s="12"/>
      <c r="S1579" s="12"/>
      <c r="T1579" s="12"/>
      <c r="U1579" s="12"/>
      <c r="V1579" s="12"/>
      <c r="W1579" s="12"/>
      <c r="X1579" s="12"/>
      <c r="Y1579" s="12"/>
      <c r="Z1579" s="12"/>
      <c r="AA1579" s="12"/>
      <c r="AB1579" s="12"/>
      <c r="AC1579" s="12"/>
      <c r="AD1579" s="12"/>
      <c r="AE1579" s="11"/>
    </row>
    <row r="1580" spans="2:31" ht="15">
      <c r="B1580" s="11"/>
      <c r="C1580" s="11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  <c r="AA1580" s="12"/>
      <c r="AB1580" s="12"/>
      <c r="AC1580" s="12"/>
      <c r="AD1580" s="12"/>
      <c r="AE1580" s="11"/>
    </row>
    <row r="1581" spans="2:31" ht="15">
      <c r="B1581" s="11"/>
      <c r="C1581" s="11"/>
      <c r="P1581" s="12"/>
      <c r="Q1581" s="12"/>
      <c r="R1581" s="12"/>
      <c r="S1581" s="12"/>
      <c r="T1581" s="12"/>
      <c r="U1581" s="12"/>
      <c r="V1581" s="12"/>
      <c r="W1581" s="12"/>
      <c r="X1581" s="12"/>
      <c r="Y1581" s="12"/>
      <c r="Z1581" s="12"/>
      <c r="AA1581" s="12"/>
      <c r="AB1581" s="12"/>
      <c r="AC1581" s="12"/>
      <c r="AD1581" s="12"/>
      <c r="AE1581" s="11"/>
    </row>
    <row r="1582" spans="2:31" ht="15">
      <c r="B1582" s="11"/>
      <c r="C1582" s="11"/>
      <c r="P1582" s="12"/>
      <c r="Q1582" s="12"/>
      <c r="R1582" s="12"/>
      <c r="S1582" s="12"/>
      <c r="T1582" s="12"/>
      <c r="U1582" s="12"/>
      <c r="V1582" s="12"/>
      <c r="W1582" s="12"/>
      <c r="X1582" s="12"/>
      <c r="Y1582" s="12"/>
      <c r="Z1582" s="12"/>
      <c r="AA1582" s="12"/>
      <c r="AB1582" s="12"/>
      <c r="AC1582" s="12"/>
      <c r="AD1582" s="12"/>
      <c r="AE1582" s="11"/>
    </row>
    <row r="1583" spans="2:31" ht="15">
      <c r="B1583" s="11"/>
      <c r="C1583" s="11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  <c r="AA1583" s="12"/>
      <c r="AB1583" s="12"/>
      <c r="AC1583" s="12"/>
      <c r="AD1583" s="12"/>
      <c r="AE1583" s="11"/>
    </row>
    <row r="1584" spans="2:31" ht="15">
      <c r="B1584" s="11"/>
      <c r="C1584" s="11"/>
      <c r="P1584" s="12"/>
      <c r="Q1584" s="12"/>
      <c r="R1584" s="12"/>
      <c r="S1584" s="12"/>
      <c r="T1584" s="12"/>
      <c r="U1584" s="12"/>
      <c r="V1584" s="12"/>
      <c r="W1584" s="12"/>
      <c r="X1584" s="12"/>
      <c r="Y1584" s="12"/>
      <c r="Z1584" s="12"/>
      <c r="AA1584" s="12"/>
      <c r="AB1584" s="12"/>
      <c r="AC1584" s="12"/>
      <c r="AD1584" s="12"/>
      <c r="AE1584" s="11"/>
    </row>
    <row r="1585" spans="2:31" ht="15">
      <c r="B1585" s="11"/>
      <c r="C1585" s="11"/>
      <c r="P1585" s="12"/>
      <c r="Q1585" s="12"/>
      <c r="R1585" s="12"/>
      <c r="S1585" s="12"/>
      <c r="T1585" s="12"/>
      <c r="U1585" s="12"/>
      <c r="V1585" s="12"/>
      <c r="W1585" s="12"/>
      <c r="X1585" s="12"/>
      <c r="Y1585" s="12"/>
      <c r="Z1585" s="12"/>
      <c r="AA1585" s="12"/>
      <c r="AB1585" s="12"/>
      <c r="AC1585" s="12"/>
      <c r="AD1585" s="12"/>
      <c r="AE1585" s="11"/>
    </row>
    <row r="1586" spans="2:31" ht="15">
      <c r="B1586" s="11"/>
      <c r="C1586" s="11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  <c r="AA1586" s="12"/>
      <c r="AB1586" s="12"/>
      <c r="AC1586" s="12"/>
      <c r="AD1586" s="12"/>
      <c r="AE1586" s="11"/>
    </row>
    <row r="1587" spans="2:31" ht="15">
      <c r="B1587" s="11"/>
      <c r="C1587" s="11"/>
      <c r="P1587" s="12"/>
      <c r="Q1587" s="12"/>
      <c r="R1587" s="12"/>
      <c r="S1587" s="12"/>
      <c r="T1587" s="12"/>
      <c r="U1587" s="12"/>
      <c r="V1587" s="12"/>
      <c r="W1587" s="12"/>
      <c r="X1587" s="12"/>
      <c r="Y1587" s="12"/>
      <c r="Z1587" s="12"/>
      <c r="AA1587" s="12"/>
      <c r="AB1587" s="12"/>
      <c r="AC1587" s="12"/>
      <c r="AD1587" s="12"/>
      <c r="AE1587" s="11"/>
    </row>
    <row r="1588" spans="2:31" ht="15">
      <c r="B1588" s="11"/>
      <c r="C1588" s="11"/>
      <c r="P1588" s="12"/>
      <c r="Q1588" s="12"/>
      <c r="R1588" s="12"/>
      <c r="S1588" s="12"/>
      <c r="T1588" s="12"/>
      <c r="U1588" s="12"/>
      <c r="V1588" s="12"/>
      <c r="W1588" s="12"/>
      <c r="X1588" s="12"/>
      <c r="Y1588" s="12"/>
      <c r="Z1588" s="12"/>
      <c r="AA1588" s="12"/>
      <c r="AB1588" s="12"/>
      <c r="AC1588" s="12"/>
      <c r="AD1588" s="12"/>
      <c r="AE1588" s="11"/>
    </row>
    <row r="1589" spans="2:31" ht="15">
      <c r="B1589" s="11"/>
      <c r="C1589" s="11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  <c r="AA1589" s="12"/>
      <c r="AB1589" s="12"/>
      <c r="AC1589" s="12"/>
      <c r="AD1589" s="12"/>
      <c r="AE1589" s="11"/>
    </row>
    <row r="1590" spans="2:31" ht="15">
      <c r="B1590" s="11"/>
      <c r="C1590" s="11"/>
      <c r="P1590" s="12"/>
      <c r="Q1590" s="12"/>
      <c r="R1590" s="12"/>
      <c r="S1590" s="12"/>
      <c r="T1590" s="12"/>
      <c r="U1590" s="12"/>
      <c r="V1590" s="12"/>
      <c r="W1590" s="12"/>
      <c r="X1590" s="12"/>
      <c r="Y1590" s="12"/>
      <c r="Z1590" s="12"/>
      <c r="AA1590" s="12"/>
      <c r="AB1590" s="12"/>
      <c r="AC1590" s="12"/>
      <c r="AD1590" s="12"/>
      <c r="AE1590" s="11"/>
    </row>
    <row r="1591" spans="2:31" ht="15">
      <c r="B1591" s="11"/>
      <c r="C1591" s="11"/>
      <c r="P1591" s="12"/>
      <c r="Q1591" s="12"/>
      <c r="R1591" s="12"/>
      <c r="S1591" s="12"/>
      <c r="T1591" s="12"/>
      <c r="U1591" s="12"/>
      <c r="V1591" s="12"/>
      <c r="W1591" s="12"/>
      <c r="X1591" s="12"/>
      <c r="Y1591" s="12"/>
      <c r="Z1591" s="12"/>
      <c r="AA1591" s="12"/>
      <c r="AB1591" s="12"/>
      <c r="AC1591" s="12"/>
      <c r="AD1591" s="12"/>
      <c r="AE1591" s="11"/>
    </row>
    <row r="1592" spans="2:31" ht="15">
      <c r="B1592" s="11"/>
      <c r="C1592" s="11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  <c r="AA1592" s="12"/>
      <c r="AB1592" s="12"/>
      <c r="AC1592" s="12"/>
      <c r="AD1592" s="12"/>
      <c r="AE1592" s="11"/>
    </row>
    <row r="1593" spans="2:31" ht="15">
      <c r="B1593" s="11"/>
      <c r="C1593" s="11"/>
      <c r="P1593" s="12"/>
      <c r="Q1593" s="12"/>
      <c r="R1593" s="12"/>
      <c r="S1593" s="12"/>
      <c r="T1593" s="12"/>
      <c r="U1593" s="12"/>
      <c r="V1593" s="12"/>
      <c r="W1593" s="12"/>
      <c r="X1593" s="12"/>
      <c r="Y1593" s="12"/>
      <c r="Z1593" s="12"/>
      <c r="AA1593" s="12"/>
      <c r="AB1593" s="12"/>
      <c r="AC1593" s="12"/>
      <c r="AD1593" s="12"/>
      <c r="AE1593" s="11"/>
    </row>
    <row r="1594" spans="2:31" ht="15">
      <c r="B1594" s="11"/>
      <c r="C1594" s="11"/>
      <c r="P1594" s="12"/>
      <c r="Q1594" s="12"/>
      <c r="R1594" s="12"/>
      <c r="S1594" s="12"/>
      <c r="T1594" s="12"/>
      <c r="U1594" s="12"/>
      <c r="V1594" s="12"/>
      <c r="W1594" s="12"/>
      <c r="X1594" s="12"/>
      <c r="Y1594" s="12"/>
      <c r="Z1594" s="12"/>
      <c r="AA1594" s="12"/>
      <c r="AB1594" s="12"/>
      <c r="AC1594" s="12"/>
      <c r="AD1594" s="12"/>
      <c r="AE1594" s="11"/>
    </row>
    <row r="1595" spans="2:31" ht="15">
      <c r="B1595" s="11"/>
      <c r="C1595" s="11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  <c r="AA1595" s="12"/>
      <c r="AB1595" s="12"/>
      <c r="AC1595" s="12"/>
      <c r="AD1595" s="12"/>
      <c r="AE1595" s="11"/>
    </row>
    <row r="1596" spans="2:31" ht="15">
      <c r="B1596" s="11"/>
      <c r="C1596" s="11"/>
      <c r="P1596" s="12"/>
      <c r="Q1596" s="12"/>
      <c r="R1596" s="12"/>
      <c r="S1596" s="12"/>
      <c r="T1596" s="12"/>
      <c r="U1596" s="12"/>
      <c r="V1596" s="12"/>
      <c r="W1596" s="12"/>
      <c r="X1596" s="12"/>
      <c r="Y1596" s="12"/>
      <c r="Z1596" s="12"/>
      <c r="AA1596" s="12"/>
      <c r="AB1596" s="12"/>
      <c r="AC1596" s="12"/>
      <c r="AD1596" s="12"/>
      <c r="AE1596" s="11"/>
    </row>
    <row r="1597" spans="2:31" ht="15">
      <c r="B1597" s="11"/>
      <c r="C1597" s="11"/>
      <c r="P1597" s="12"/>
      <c r="Q1597" s="12"/>
      <c r="R1597" s="12"/>
      <c r="S1597" s="12"/>
      <c r="T1597" s="12"/>
      <c r="U1597" s="12"/>
      <c r="V1597" s="12"/>
      <c r="W1597" s="12"/>
      <c r="X1597" s="12"/>
      <c r="Y1597" s="12"/>
      <c r="Z1597" s="12"/>
      <c r="AA1597" s="12"/>
      <c r="AB1597" s="12"/>
      <c r="AC1597" s="12"/>
      <c r="AD1597" s="12"/>
      <c r="AE1597" s="11"/>
    </row>
    <row r="1598" spans="2:31" ht="15">
      <c r="B1598" s="11"/>
      <c r="C1598" s="11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  <c r="AA1598" s="12"/>
      <c r="AB1598" s="12"/>
      <c r="AC1598" s="12"/>
      <c r="AD1598" s="12"/>
      <c r="AE1598" s="11"/>
    </row>
    <row r="1599" spans="2:31" ht="15">
      <c r="B1599" s="11"/>
      <c r="C1599" s="11"/>
      <c r="P1599" s="12"/>
      <c r="Q1599" s="12"/>
      <c r="R1599" s="12"/>
      <c r="S1599" s="12"/>
      <c r="T1599" s="12"/>
      <c r="U1599" s="12"/>
      <c r="V1599" s="12"/>
      <c r="W1599" s="12"/>
      <c r="X1599" s="12"/>
      <c r="Y1599" s="12"/>
      <c r="Z1599" s="12"/>
      <c r="AA1599" s="12"/>
      <c r="AB1599" s="12"/>
      <c r="AC1599" s="12"/>
      <c r="AD1599" s="12"/>
      <c r="AE1599" s="11"/>
    </row>
    <row r="1600" spans="2:31" ht="15">
      <c r="B1600" s="11"/>
      <c r="C1600" s="11"/>
      <c r="P1600" s="12"/>
      <c r="Q1600" s="12"/>
      <c r="R1600" s="12"/>
      <c r="S1600" s="12"/>
      <c r="T1600" s="12"/>
      <c r="U1600" s="12"/>
      <c r="V1600" s="12"/>
      <c r="W1600" s="12"/>
      <c r="X1600" s="12"/>
      <c r="Y1600" s="12"/>
      <c r="Z1600" s="12"/>
      <c r="AA1600" s="12"/>
      <c r="AB1600" s="12"/>
      <c r="AC1600" s="12"/>
      <c r="AD1600" s="12"/>
      <c r="AE1600" s="11"/>
    </row>
    <row r="1601" spans="2:31" ht="15">
      <c r="B1601" s="11"/>
      <c r="C1601" s="11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  <c r="AA1601" s="12"/>
      <c r="AB1601" s="12"/>
      <c r="AC1601" s="12"/>
      <c r="AD1601" s="12"/>
      <c r="AE1601" s="11"/>
    </row>
    <row r="1602" spans="2:31" ht="15">
      <c r="B1602" s="11"/>
      <c r="C1602" s="11"/>
      <c r="P1602" s="12"/>
      <c r="Q1602" s="12"/>
      <c r="R1602" s="12"/>
      <c r="S1602" s="12"/>
      <c r="T1602" s="12"/>
      <c r="U1602" s="12"/>
      <c r="V1602" s="12"/>
      <c r="W1602" s="12"/>
      <c r="X1602" s="12"/>
      <c r="Y1602" s="12"/>
      <c r="Z1602" s="12"/>
      <c r="AA1602" s="12"/>
      <c r="AB1602" s="12"/>
      <c r="AC1602" s="12"/>
      <c r="AD1602" s="12"/>
      <c r="AE1602" s="11"/>
    </row>
    <row r="1603" spans="2:31" ht="15">
      <c r="B1603" s="11"/>
      <c r="C1603" s="11"/>
      <c r="P1603" s="12"/>
      <c r="Q1603" s="12"/>
      <c r="R1603" s="12"/>
      <c r="S1603" s="12"/>
      <c r="T1603" s="12"/>
      <c r="U1603" s="12"/>
      <c r="V1603" s="12"/>
      <c r="W1603" s="12"/>
      <c r="X1603" s="12"/>
      <c r="Y1603" s="12"/>
      <c r="Z1603" s="12"/>
      <c r="AA1603" s="12"/>
      <c r="AB1603" s="12"/>
      <c r="AC1603" s="12"/>
      <c r="AD1603" s="12"/>
      <c r="AE1603" s="11"/>
    </row>
    <row r="1604" spans="2:31" ht="15">
      <c r="B1604" s="11"/>
      <c r="C1604" s="11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  <c r="AA1604" s="12"/>
      <c r="AB1604" s="12"/>
      <c r="AC1604" s="12"/>
      <c r="AD1604" s="12"/>
      <c r="AE1604" s="11"/>
    </row>
    <row r="1605" spans="2:31" ht="15">
      <c r="B1605" s="11"/>
      <c r="C1605" s="11"/>
      <c r="P1605" s="12"/>
      <c r="Q1605" s="12"/>
      <c r="R1605" s="12"/>
      <c r="S1605" s="12"/>
      <c r="T1605" s="12"/>
      <c r="U1605" s="12"/>
      <c r="V1605" s="12"/>
      <c r="W1605" s="12"/>
      <c r="X1605" s="12"/>
      <c r="Y1605" s="12"/>
      <c r="Z1605" s="12"/>
      <c r="AA1605" s="12"/>
      <c r="AB1605" s="12"/>
      <c r="AC1605" s="12"/>
      <c r="AD1605" s="12"/>
      <c r="AE1605" s="11"/>
    </row>
    <row r="1606" spans="2:31" ht="15">
      <c r="B1606" s="11"/>
      <c r="C1606" s="11"/>
      <c r="P1606" s="12"/>
      <c r="Q1606" s="12"/>
      <c r="R1606" s="12"/>
      <c r="S1606" s="12"/>
      <c r="T1606" s="12"/>
      <c r="U1606" s="12"/>
      <c r="V1606" s="12"/>
      <c r="W1606" s="12"/>
      <c r="X1606" s="12"/>
      <c r="Y1606" s="12"/>
      <c r="Z1606" s="12"/>
      <c r="AA1606" s="12"/>
      <c r="AB1606" s="12"/>
      <c r="AC1606" s="12"/>
      <c r="AD1606" s="12"/>
      <c r="AE1606" s="11"/>
    </row>
    <row r="1607" spans="2:31" ht="15">
      <c r="B1607" s="11"/>
      <c r="C1607" s="11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  <c r="AA1607" s="12"/>
      <c r="AB1607" s="12"/>
      <c r="AC1607" s="12"/>
      <c r="AD1607" s="12"/>
      <c r="AE1607" s="11"/>
    </row>
    <row r="1608" spans="2:31" ht="15">
      <c r="B1608" s="11"/>
      <c r="C1608" s="11"/>
      <c r="P1608" s="12"/>
      <c r="Q1608" s="12"/>
      <c r="R1608" s="12"/>
      <c r="S1608" s="12"/>
      <c r="T1608" s="12"/>
      <c r="U1608" s="12"/>
      <c r="V1608" s="12"/>
      <c r="W1608" s="12"/>
      <c r="X1608" s="12"/>
      <c r="Y1608" s="12"/>
      <c r="Z1608" s="12"/>
      <c r="AA1608" s="12"/>
      <c r="AB1608" s="12"/>
      <c r="AC1608" s="12"/>
      <c r="AD1608" s="12"/>
      <c r="AE1608" s="11"/>
    </row>
    <row r="1609" spans="2:31" ht="15">
      <c r="B1609" s="11"/>
      <c r="C1609" s="11"/>
      <c r="P1609" s="12"/>
      <c r="Q1609" s="12"/>
      <c r="R1609" s="12"/>
      <c r="S1609" s="12"/>
      <c r="T1609" s="12"/>
      <c r="U1609" s="12"/>
      <c r="V1609" s="12"/>
      <c r="W1609" s="12"/>
      <c r="X1609" s="12"/>
      <c r="Y1609" s="12"/>
      <c r="Z1609" s="12"/>
      <c r="AA1609" s="12"/>
      <c r="AB1609" s="12"/>
      <c r="AC1609" s="12"/>
      <c r="AD1609" s="12"/>
      <c r="AE1609" s="11"/>
    </row>
    <row r="1610" spans="2:31" ht="15">
      <c r="B1610" s="11"/>
      <c r="C1610" s="11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  <c r="AA1610" s="12"/>
      <c r="AB1610" s="12"/>
      <c r="AC1610" s="12"/>
      <c r="AD1610" s="12"/>
      <c r="AE1610" s="11"/>
    </row>
    <row r="1611" spans="2:31" ht="15">
      <c r="B1611" s="11"/>
      <c r="C1611" s="11"/>
      <c r="P1611" s="12"/>
      <c r="Q1611" s="12"/>
      <c r="R1611" s="12"/>
      <c r="S1611" s="12"/>
      <c r="T1611" s="12"/>
      <c r="U1611" s="12"/>
      <c r="V1611" s="12"/>
      <c r="W1611" s="12"/>
      <c r="X1611" s="12"/>
      <c r="Y1611" s="12"/>
      <c r="Z1611" s="12"/>
      <c r="AA1611" s="12"/>
      <c r="AB1611" s="12"/>
      <c r="AC1611" s="12"/>
      <c r="AD1611" s="12"/>
      <c r="AE1611" s="11"/>
    </row>
    <row r="1612" spans="2:31" ht="15">
      <c r="B1612" s="11"/>
      <c r="C1612" s="11"/>
      <c r="P1612" s="12"/>
      <c r="Q1612" s="12"/>
      <c r="R1612" s="12"/>
      <c r="S1612" s="12"/>
      <c r="T1612" s="12"/>
      <c r="U1612" s="12"/>
      <c r="V1612" s="12"/>
      <c r="W1612" s="12"/>
      <c r="X1612" s="12"/>
      <c r="Y1612" s="12"/>
      <c r="Z1612" s="12"/>
      <c r="AA1612" s="12"/>
      <c r="AB1612" s="12"/>
      <c r="AC1612" s="12"/>
      <c r="AD1612" s="12"/>
      <c r="AE1612" s="11"/>
    </row>
    <row r="1613" spans="2:31" ht="15">
      <c r="B1613" s="11"/>
      <c r="C1613" s="11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  <c r="AA1613" s="12"/>
      <c r="AB1613" s="12"/>
      <c r="AC1613" s="12"/>
      <c r="AD1613" s="12"/>
      <c r="AE1613" s="11"/>
    </row>
    <row r="1614" spans="2:31" ht="15">
      <c r="B1614" s="11"/>
      <c r="C1614" s="11"/>
      <c r="P1614" s="12"/>
      <c r="Q1614" s="12"/>
      <c r="R1614" s="12"/>
      <c r="S1614" s="12"/>
      <c r="T1614" s="12"/>
      <c r="U1614" s="12"/>
      <c r="V1614" s="12"/>
      <c r="W1614" s="12"/>
      <c r="X1614" s="12"/>
      <c r="Y1614" s="12"/>
      <c r="Z1614" s="12"/>
      <c r="AA1614" s="12"/>
      <c r="AB1614" s="12"/>
      <c r="AC1614" s="12"/>
      <c r="AD1614" s="12"/>
      <c r="AE1614" s="11"/>
    </row>
    <row r="1615" spans="2:31" ht="15">
      <c r="B1615" s="11"/>
      <c r="C1615" s="11"/>
      <c r="P1615" s="12"/>
      <c r="Q1615" s="12"/>
      <c r="R1615" s="12"/>
      <c r="S1615" s="12"/>
      <c r="T1615" s="12"/>
      <c r="U1615" s="12"/>
      <c r="V1615" s="12"/>
      <c r="W1615" s="12"/>
      <c r="X1615" s="12"/>
      <c r="Y1615" s="12"/>
      <c r="Z1615" s="12"/>
      <c r="AA1615" s="12"/>
      <c r="AB1615" s="12"/>
      <c r="AC1615" s="12"/>
      <c r="AD1615" s="12"/>
      <c r="AE1615" s="11"/>
    </row>
    <row r="1616" spans="2:31" ht="15">
      <c r="B1616" s="11"/>
      <c r="C1616" s="11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  <c r="AA1616" s="12"/>
      <c r="AB1616" s="12"/>
      <c r="AC1616" s="12"/>
      <c r="AD1616" s="12"/>
      <c r="AE1616" s="11"/>
    </row>
    <row r="1617" spans="2:31" ht="15">
      <c r="B1617" s="11"/>
      <c r="C1617" s="11"/>
      <c r="P1617" s="12"/>
      <c r="Q1617" s="12"/>
      <c r="R1617" s="12"/>
      <c r="S1617" s="12"/>
      <c r="T1617" s="12"/>
      <c r="U1617" s="12"/>
      <c r="V1617" s="12"/>
      <c r="W1617" s="12"/>
      <c r="X1617" s="12"/>
      <c r="Y1617" s="12"/>
      <c r="Z1617" s="12"/>
      <c r="AA1617" s="12"/>
      <c r="AB1617" s="12"/>
      <c r="AC1617" s="12"/>
      <c r="AD1617" s="12"/>
      <c r="AE1617" s="11"/>
    </row>
    <row r="1618" spans="2:31" ht="15">
      <c r="B1618" s="11"/>
      <c r="C1618" s="11"/>
      <c r="P1618" s="12"/>
      <c r="Q1618" s="12"/>
      <c r="R1618" s="12"/>
      <c r="S1618" s="12"/>
      <c r="T1618" s="12"/>
      <c r="U1618" s="12"/>
      <c r="V1618" s="12"/>
      <c r="W1618" s="12"/>
      <c r="X1618" s="12"/>
      <c r="Y1618" s="12"/>
      <c r="Z1618" s="12"/>
      <c r="AA1618" s="12"/>
      <c r="AB1618" s="12"/>
      <c r="AC1618" s="12"/>
      <c r="AD1618" s="12"/>
      <c r="AE1618" s="11"/>
    </row>
    <row r="1619" spans="2:31" ht="15">
      <c r="B1619" s="11"/>
      <c r="C1619" s="11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  <c r="AA1619" s="12"/>
      <c r="AB1619" s="12"/>
      <c r="AC1619" s="12"/>
      <c r="AD1619" s="12"/>
      <c r="AE1619" s="11"/>
    </row>
    <row r="1620" spans="2:31" ht="15">
      <c r="B1620" s="11"/>
      <c r="C1620" s="11"/>
      <c r="P1620" s="12"/>
      <c r="Q1620" s="12"/>
      <c r="R1620" s="12"/>
      <c r="S1620" s="12"/>
      <c r="T1620" s="12"/>
      <c r="U1620" s="12"/>
      <c r="V1620" s="12"/>
      <c r="W1620" s="12"/>
      <c r="X1620" s="12"/>
      <c r="Y1620" s="12"/>
      <c r="Z1620" s="12"/>
      <c r="AA1620" s="12"/>
      <c r="AB1620" s="12"/>
      <c r="AC1620" s="12"/>
      <c r="AD1620" s="12"/>
      <c r="AE1620" s="11"/>
    </row>
    <row r="1621" spans="2:31" ht="15">
      <c r="B1621" s="11"/>
      <c r="C1621" s="11"/>
      <c r="P1621" s="12"/>
      <c r="Q1621" s="12"/>
      <c r="R1621" s="12"/>
      <c r="S1621" s="12"/>
      <c r="T1621" s="12"/>
      <c r="U1621" s="12"/>
      <c r="V1621" s="12"/>
      <c r="W1621" s="12"/>
      <c r="X1621" s="12"/>
      <c r="Y1621" s="12"/>
      <c r="Z1621" s="12"/>
      <c r="AA1621" s="12"/>
      <c r="AB1621" s="12"/>
      <c r="AC1621" s="12"/>
      <c r="AD1621" s="12"/>
      <c r="AE1621" s="11"/>
    </row>
    <row r="1622" spans="2:31" ht="15">
      <c r="B1622" s="11"/>
      <c r="C1622" s="11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  <c r="AA1622" s="12"/>
      <c r="AB1622" s="12"/>
      <c r="AC1622" s="12"/>
      <c r="AD1622" s="12"/>
      <c r="AE1622" s="11"/>
    </row>
    <row r="1623" spans="2:31" ht="15">
      <c r="B1623" s="11"/>
      <c r="C1623" s="11"/>
      <c r="P1623" s="12"/>
      <c r="Q1623" s="12"/>
      <c r="R1623" s="12"/>
      <c r="S1623" s="12"/>
      <c r="T1623" s="12"/>
      <c r="U1623" s="12"/>
      <c r="V1623" s="12"/>
      <c r="W1623" s="12"/>
      <c r="X1623" s="12"/>
      <c r="Y1623" s="12"/>
      <c r="Z1623" s="12"/>
      <c r="AA1623" s="12"/>
      <c r="AB1623" s="12"/>
      <c r="AC1623" s="12"/>
      <c r="AD1623" s="12"/>
      <c r="AE1623" s="11"/>
    </row>
    <row r="1624" spans="2:31" ht="15">
      <c r="B1624" s="11"/>
      <c r="C1624" s="11"/>
      <c r="P1624" s="12"/>
      <c r="Q1624" s="12"/>
      <c r="R1624" s="12"/>
      <c r="S1624" s="12"/>
      <c r="T1624" s="12"/>
      <c r="U1624" s="12"/>
      <c r="V1624" s="12"/>
      <c r="W1624" s="12"/>
      <c r="X1624" s="12"/>
      <c r="Y1624" s="12"/>
      <c r="Z1624" s="12"/>
      <c r="AA1624" s="12"/>
      <c r="AB1624" s="12"/>
      <c r="AC1624" s="12"/>
      <c r="AD1624" s="12"/>
      <c r="AE1624" s="11"/>
    </row>
    <row r="1625" spans="2:31" ht="15">
      <c r="B1625" s="11"/>
      <c r="C1625" s="11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  <c r="AA1625" s="12"/>
      <c r="AB1625" s="12"/>
      <c r="AC1625" s="12"/>
      <c r="AD1625" s="12"/>
      <c r="AE1625" s="11"/>
    </row>
    <row r="1626" spans="2:31" ht="15">
      <c r="B1626" s="11"/>
      <c r="C1626" s="11"/>
      <c r="P1626" s="12"/>
      <c r="Q1626" s="12"/>
      <c r="R1626" s="12"/>
      <c r="S1626" s="12"/>
      <c r="T1626" s="12"/>
      <c r="U1626" s="12"/>
      <c r="V1626" s="12"/>
      <c r="W1626" s="12"/>
      <c r="X1626" s="12"/>
      <c r="Y1626" s="12"/>
      <c r="Z1626" s="12"/>
      <c r="AA1626" s="12"/>
      <c r="AB1626" s="12"/>
      <c r="AC1626" s="12"/>
      <c r="AD1626" s="12"/>
      <c r="AE1626" s="11"/>
    </row>
    <row r="1627" spans="2:31" ht="15">
      <c r="B1627" s="11"/>
      <c r="C1627" s="11"/>
      <c r="P1627" s="12"/>
      <c r="Q1627" s="12"/>
      <c r="R1627" s="12"/>
      <c r="S1627" s="12"/>
      <c r="T1627" s="12"/>
      <c r="U1627" s="12"/>
      <c r="V1627" s="12"/>
      <c r="W1627" s="12"/>
      <c r="X1627" s="12"/>
      <c r="Y1627" s="12"/>
      <c r="Z1627" s="12"/>
      <c r="AA1627" s="12"/>
      <c r="AB1627" s="12"/>
      <c r="AC1627" s="12"/>
      <c r="AD1627" s="12"/>
      <c r="AE1627" s="11"/>
    </row>
    <row r="1628" spans="2:31" ht="15">
      <c r="B1628" s="11"/>
      <c r="C1628" s="11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  <c r="AA1628" s="12"/>
      <c r="AB1628" s="12"/>
      <c r="AC1628" s="12"/>
      <c r="AD1628" s="12"/>
      <c r="AE1628" s="11"/>
    </row>
    <row r="1629" spans="2:31" ht="15">
      <c r="B1629" s="11"/>
      <c r="C1629" s="11"/>
      <c r="P1629" s="12"/>
      <c r="Q1629" s="12"/>
      <c r="R1629" s="12"/>
      <c r="S1629" s="12"/>
      <c r="T1629" s="12"/>
      <c r="U1629" s="12"/>
      <c r="V1629" s="12"/>
      <c r="W1629" s="12"/>
      <c r="X1629" s="12"/>
      <c r="Y1629" s="12"/>
      <c r="Z1629" s="12"/>
      <c r="AA1629" s="12"/>
      <c r="AB1629" s="12"/>
      <c r="AC1629" s="12"/>
      <c r="AD1629" s="12"/>
      <c r="AE1629" s="11"/>
    </row>
    <row r="1630" spans="2:31" ht="15">
      <c r="B1630" s="11"/>
      <c r="C1630" s="11"/>
      <c r="P1630" s="12"/>
      <c r="Q1630" s="12"/>
      <c r="R1630" s="12"/>
      <c r="S1630" s="12"/>
      <c r="T1630" s="12"/>
      <c r="U1630" s="12"/>
      <c r="V1630" s="12"/>
      <c r="W1630" s="12"/>
      <c r="X1630" s="12"/>
      <c r="Y1630" s="12"/>
      <c r="Z1630" s="12"/>
      <c r="AA1630" s="12"/>
      <c r="AB1630" s="12"/>
      <c r="AC1630" s="12"/>
      <c r="AD1630" s="12"/>
      <c r="AE1630" s="11"/>
    </row>
    <row r="1631" spans="2:31" ht="15">
      <c r="B1631" s="11"/>
      <c r="C1631" s="11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  <c r="AA1631" s="12"/>
      <c r="AB1631" s="12"/>
      <c r="AC1631" s="12"/>
      <c r="AD1631" s="12"/>
      <c r="AE1631" s="11"/>
    </row>
    <row r="1632" spans="2:31" ht="15">
      <c r="B1632" s="11"/>
      <c r="C1632" s="11"/>
      <c r="P1632" s="12"/>
      <c r="Q1632" s="12"/>
      <c r="R1632" s="12"/>
      <c r="S1632" s="12"/>
      <c r="T1632" s="12"/>
      <c r="U1632" s="12"/>
      <c r="V1632" s="12"/>
      <c r="W1632" s="12"/>
      <c r="X1632" s="12"/>
      <c r="Y1632" s="12"/>
      <c r="Z1632" s="12"/>
      <c r="AA1632" s="12"/>
      <c r="AB1632" s="12"/>
      <c r="AC1632" s="12"/>
      <c r="AD1632" s="12"/>
      <c r="AE1632" s="11"/>
    </row>
    <row r="1633" spans="2:31" ht="15">
      <c r="B1633" s="11"/>
      <c r="C1633" s="11"/>
      <c r="P1633" s="12"/>
      <c r="Q1633" s="12"/>
      <c r="R1633" s="12"/>
      <c r="S1633" s="12"/>
      <c r="T1633" s="12"/>
      <c r="U1633" s="12"/>
      <c r="V1633" s="12"/>
      <c r="W1633" s="12"/>
      <c r="X1633" s="12"/>
      <c r="Y1633" s="12"/>
      <c r="Z1633" s="12"/>
      <c r="AA1633" s="12"/>
      <c r="AB1633" s="12"/>
      <c r="AC1633" s="12"/>
      <c r="AD1633" s="12"/>
      <c r="AE1633" s="11"/>
    </row>
    <row r="1634" spans="2:31" ht="15">
      <c r="B1634" s="11"/>
      <c r="C1634" s="11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  <c r="AA1634" s="12"/>
      <c r="AB1634" s="12"/>
      <c r="AC1634" s="12"/>
      <c r="AD1634" s="12"/>
      <c r="AE1634" s="11"/>
    </row>
    <row r="1635" spans="2:31" ht="15">
      <c r="B1635" s="11"/>
      <c r="C1635" s="11"/>
      <c r="P1635" s="12"/>
      <c r="Q1635" s="12"/>
      <c r="R1635" s="12"/>
      <c r="S1635" s="12"/>
      <c r="T1635" s="12"/>
      <c r="U1635" s="12"/>
      <c r="V1635" s="12"/>
      <c r="W1635" s="12"/>
      <c r="X1635" s="12"/>
      <c r="Y1635" s="12"/>
      <c r="Z1635" s="12"/>
      <c r="AA1635" s="12"/>
      <c r="AB1635" s="12"/>
      <c r="AC1635" s="12"/>
      <c r="AD1635" s="12"/>
      <c r="AE1635" s="11"/>
    </row>
    <row r="1636" spans="2:31" ht="15">
      <c r="B1636" s="11"/>
      <c r="C1636" s="11"/>
      <c r="P1636" s="12"/>
      <c r="Q1636" s="12"/>
      <c r="R1636" s="12"/>
      <c r="S1636" s="12"/>
      <c r="T1636" s="12"/>
      <c r="U1636" s="12"/>
      <c r="V1636" s="12"/>
      <c r="W1636" s="12"/>
      <c r="X1636" s="12"/>
      <c r="Y1636" s="12"/>
      <c r="Z1636" s="12"/>
      <c r="AA1636" s="12"/>
      <c r="AB1636" s="12"/>
      <c r="AC1636" s="12"/>
      <c r="AD1636" s="12"/>
      <c r="AE1636" s="11"/>
    </row>
    <row r="1637" spans="2:31" ht="15">
      <c r="B1637" s="11"/>
      <c r="C1637" s="11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  <c r="AA1637" s="12"/>
      <c r="AB1637" s="12"/>
      <c r="AC1637" s="12"/>
      <c r="AD1637" s="12"/>
      <c r="AE1637" s="11"/>
    </row>
    <row r="1638" spans="2:31" ht="15">
      <c r="B1638" s="11"/>
      <c r="C1638" s="11"/>
      <c r="P1638" s="12"/>
      <c r="Q1638" s="12"/>
      <c r="R1638" s="12"/>
      <c r="S1638" s="12"/>
      <c r="T1638" s="12"/>
      <c r="U1638" s="12"/>
      <c r="V1638" s="12"/>
      <c r="W1638" s="12"/>
      <c r="X1638" s="12"/>
      <c r="Y1638" s="12"/>
      <c r="Z1638" s="12"/>
      <c r="AA1638" s="12"/>
      <c r="AB1638" s="12"/>
      <c r="AC1638" s="12"/>
      <c r="AD1638" s="12"/>
      <c r="AE1638" s="11"/>
    </row>
    <row r="1639" spans="2:31" ht="15">
      <c r="B1639" s="11"/>
      <c r="C1639" s="11"/>
      <c r="P1639" s="12"/>
      <c r="Q1639" s="12"/>
      <c r="R1639" s="12"/>
      <c r="S1639" s="12"/>
      <c r="T1639" s="12"/>
      <c r="U1639" s="12"/>
      <c r="V1639" s="12"/>
      <c r="W1639" s="12"/>
      <c r="X1639" s="12"/>
      <c r="Y1639" s="12"/>
      <c r="Z1639" s="12"/>
      <c r="AA1639" s="12"/>
      <c r="AB1639" s="12"/>
      <c r="AC1639" s="12"/>
      <c r="AD1639" s="12"/>
      <c r="AE1639" s="11"/>
    </row>
    <row r="1640" spans="2:31" ht="15">
      <c r="B1640" s="11"/>
      <c r="C1640" s="11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  <c r="AA1640" s="12"/>
      <c r="AB1640" s="12"/>
      <c r="AC1640" s="12"/>
      <c r="AD1640" s="12"/>
      <c r="AE1640" s="11"/>
    </row>
    <row r="1641" spans="2:31" ht="15">
      <c r="B1641" s="11"/>
      <c r="C1641" s="11"/>
      <c r="P1641" s="12"/>
      <c r="Q1641" s="12"/>
      <c r="R1641" s="12"/>
      <c r="S1641" s="12"/>
      <c r="T1641" s="12"/>
      <c r="U1641" s="12"/>
      <c r="V1641" s="12"/>
      <c r="W1641" s="12"/>
      <c r="X1641" s="12"/>
      <c r="Y1641" s="12"/>
      <c r="Z1641" s="12"/>
      <c r="AA1641" s="12"/>
      <c r="AB1641" s="12"/>
      <c r="AC1641" s="12"/>
      <c r="AD1641" s="12"/>
      <c r="AE1641" s="11"/>
    </row>
    <row r="1642" spans="2:31" ht="15">
      <c r="B1642" s="11"/>
      <c r="C1642" s="11"/>
      <c r="P1642" s="12"/>
      <c r="Q1642" s="12"/>
      <c r="R1642" s="12"/>
      <c r="S1642" s="12"/>
      <c r="T1642" s="12"/>
      <c r="U1642" s="12"/>
      <c r="V1642" s="12"/>
      <c r="W1642" s="12"/>
      <c r="X1642" s="12"/>
      <c r="Y1642" s="12"/>
      <c r="Z1642" s="12"/>
      <c r="AA1642" s="12"/>
      <c r="AB1642" s="12"/>
      <c r="AC1642" s="12"/>
      <c r="AD1642" s="12"/>
      <c r="AE1642" s="11"/>
    </row>
    <row r="1643" spans="2:31" ht="15">
      <c r="B1643" s="11"/>
      <c r="C1643" s="11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  <c r="AA1643" s="12"/>
      <c r="AB1643" s="12"/>
      <c r="AC1643" s="12"/>
      <c r="AD1643" s="12"/>
      <c r="AE1643" s="11"/>
    </row>
    <row r="1644" spans="2:31" ht="15">
      <c r="B1644" s="11"/>
      <c r="C1644" s="11"/>
      <c r="P1644" s="12"/>
      <c r="Q1644" s="12"/>
      <c r="R1644" s="12"/>
      <c r="S1644" s="12"/>
      <c r="T1644" s="12"/>
      <c r="U1644" s="12"/>
      <c r="V1644" s="12"/>
      <c r="W1644" s="12"/>
      <c r="X1644" s="12"/>
      <c r="Y1644" s="12"/>
      <c r="Z1644" s="12"/>
      <c r="AA1644" s="12"/>
      <c r="AB1644" s="12"/>
      <c r="AC1644" s="12"/>
      <c r="AD1644" s="12"/>
      <c r="AE1644" s="11"/>
    </row>
    <row r="1645" spans="2:31" ht="15">
      <c r="B1645" s="11"/>
      <c r="C1645" s="11"/>
      <c r="P1645" s="12"/>
      <c r="Q1645" s="12"/>
      <c r="R1645" s="12"/>
      <c r="S1645" s="12"/>
      <c r="T1645" s="12"/>
      <c r="U1645" s="12"/>
      <c r="V1645" s="12"/>
      <c r="W1645" s="12"/>
      <c r="X1645" s="12"/>
      <c r="Y1645" s="12"/>
      <c r="Z1645" s="12"/>
      <c r="AA1645" s="12"/>
      <c r="AB1645" s="12"/>
      <c r="AC1645" s="12"/>
      <c r="AD1645" s="12"/>
      <c r="AE1645" s="11"/>
    </row>
    <row r="1646" spans="2:31" ht="15">
      <c r="B1646" s="11"/>
      <c r="C1646" s="11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  <c r="AA1646" s="12"/>
      <c r="AB1646" s="12"/>
      <c r="AC1646" s="12"/>
      <c r="AD1646" s="12"/>
      <c r="AE1646" s="11"/>
    </row>
    <row r="1647" spans="2:31" ht="15">
      <c r="B1647" s="11"/>
      <c r="C1647" s="11"/>
      <c r="P1647" s="12"/>
      <c r="Q1647" s="12"/>
      <c r="R1647" s="12"/>
      <c r="S1647" s="12"/>
      <c r="T1647" s="12"/>
      <c r="U1647" s="12"/>
      <c r="V1647" s="12"/>
      <c r="W1647" s="12"/>
      <c r="X1647" s="12"/>
      <c r="Y1647" s="12"/>
      <c r="Z1647" s="12"/>
      <c r="AA1647" s="12"/>
      <c r="AB1647" s="12"/>
      <c r="AC1647" s="12"/>
      <c r="AD1647" s="12"/>
      <c r="AE1647" s="11"/>
    </row>
    <row r="1648" spans="2:31" ht="15">
      <c r="B1648" s="11"/>
      <c r="C1648" s="11"/>
      <c r="P1648" s="12"/>
      <c r="Q1648" s="12"/>
      <c r="R1648" s="12"/>
      <c r="S1648" s="12"/>
      <c r="T1648" s="12"/>
      <c r="U1648" s="12"/>
      <c r="V1648" s="12"/>
      <c r="W1648" s="12"/>
      <c r="X1648" s="12"/>
      <c r="Y1648" s="12"/>
      <c r="Z1648" s="12"/>
      <c r="AA1648" s="12"/>
      <c r="AB1648" s="12"/>
      <c r="AC1648" s="12"/>
      <c r="AD1648" s="12"/>
      <c r="AE1648" s="11"/>
    </row>
    <row r="1649" spans="2:31" ht="15">
      <c r="B1649" s="11"/>
      <c r="C1649" s="11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  <c r="AA1649" s="12"/>
      <c r="AB1649" s="12"/>
      <c r="AC1649" s="12"/>
      <c r="AD1649" s="12"/>
      <c r="AE1649" s="11"/>
    </row>
    <row r="1650" spans="2:31" ht="15">
      <c r="B1650" s="11"/>
      <c r="C1650" s="11"/>
      <c r="P1650" s="12"/>
      <c r="Q1650" s="12"/>
      <c r="R1650" s="12"/>
      <c r="S1650" s="12"/>
      <c r="T1650" s="12"/>
      <c r="U1650" s="12"/>
      <c r="V1650" s="12"/>
      <c r="W1650" s="12"/>
      <c r="X1650" s="12"/>
      <c r="Y1650" s="12"/>
      <c r="Z1650" s="12"/>
      <c r="AA1650" s="12"/>
      <c r="AB1650" s="12"/>
      <c r="AC1650" s="12"/>
      <c r="AD1650" s="12"/>
      <c r="AE1650" s="11"/>
    </row>
    <row r="1651" spans="2:31" ht="15">
      <c r="B1651" s="11"/>
      <c r="C1651" s="11"/>
      <c r="P1651" s="12"/>
      <c r="Q1651" s="12"/>
      <c r="R1651" s="12"/>
      <c r="S1651" s="12"/>
      <c r="T1651" s="12"/>
      <c r="U1651" s="12"/>
      <c r="V1651" s="12"/>
      <c r="W1651" s="12"/>
      <c r="X1651" s="12"/>
      <c r="Y1651" s="12"/>
      <c r="Z1651" s="12"/>
      <c r="AA1651" s="12"/>
      <c r="AB1651" s="12"/>
      <c r="AC1651" s="12"/>
      <c r="AD1651" s="12"/>
      <c r="AE1651" s="11"/>
    </row>
    <row r="1652" spans="2:31" ht="15">
      <c r="B1652" s="11"/>
      <c r="C1652" s="11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  <c r="AA1652" s="12"/>
      <c r="AB1652" s="12"/>
      <c r="AC1652" s="12"/>
      <c r="AD1652" s="12"/>
      <c r="AE1652" s="11"/>
    </row>
    <row r="1653" spans="2:31" ht="15">
      <c r="B1653" s="11"/>
      <c r="C1653" s="11"/>
      <c r="P1653" s="12"/>
      <c r="Q1653" s="12"/>
      <c r="R1653" s="12"/>
      <c r="S1653" s="12"/>
      <c r="T1653" s="12"/>
      <c r="U1653" s="12"/>
      <c r="V1653" s="12"/>
      <c r="W1653" s="12"/>
      <c r="X1653" s="12"/>
      <c r="Y1653" s="12"/>
      <c r="Z1653" s="12"/>
      <c r="AA1653" s="12"/>
      <c r="AB1653" s="12"/>
      <c r="AC1653" s="12"/>
      <c r="AD1653" s="12"/>
      <c r="AE1653" s="11"/>
    </row>
    <row r="1654" spans="2:31" ht="15">
      <c r="B1654" s="11"/>
      <c r="C1654" s="11"/>
      <c r="P1654" s="12"/>
      <c r="Q1654" s="12"/>
      <c r="R1654" s="12"/>
      <c r="S1654" s="12"/>
      <c r="T1654" s="12"/>
      <c r="U1654" s="12"/>
      <c r="V1654" s="12"/>
      <c r="W1654" s="12"/>
      <c r="X1654" s="12"/>
      <c r="Y1654" s="12"/>
      <c r="Z1654" s="12"/>
      <c r="AA1654" s="12"/>
      <c r="AB1654" s="12"/>
      <c r="AC1654" s="12"/>
      <c r="AD1654" s="12"/>
      <c r="AE1654" s="11"/>
    </row>
    <row r="1655" spans="2:31" ht="15">
      <c r="B1655" s="11"/>
      <c r="C1655" s="11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  <c r="AA1655" s="12"/>
      <c r="AB1655" s="12"/>
      <c r="AC1655" s="12"/>
      <c r="AD1655" s="12"/>
      <c r="AE1655" s="11"/>
    </row>
    <row r="1656" spans="2:31" ht="15">
      <c r="B1656" s="11"/>
      <c r="C1656" s="11"/>
      <c r="P1656" s="12"/>
      <c r="Q1656" s="12"/>
      <c r="R1656" s="12"/>
      <c r="S1656" s="12"/>
      <c r="T1656" s="12"/>
      <c r="U1656" s="12"/>
      <c r="V1656" s="12"/>
      <c r="W1656" s="12"/>
      <c r="X1656" s="12"/>
      <c r="Y1656" s="12"/>
      <c r="Z1656" s="12"/>
      <c r="AA1656" s="12"/>
      <c r="AB1656" s="12"/>
      <c r="AC1656" s="12"/>
      <c r="AD1656" s="12"/>
      <c r="AE1656" s="11"/>
    </row>
    <row r="1657" spans="2:31" ht="15">
      <c r="B1657" s="11"/>
      <c r="C1657" s="11"/>
      <c r="P1657" s="12"/>
      <c r="Q1657" s="12"/>
      <c r="R1657" s="12"/>
      <c r="S1657" s="12"/>
      <c r="T1657" s="12"/>
      <c r="U1657" s="12"/>
      <c r="V1657" s="12"/>
      <c r="W1657" s="12"/>
      <c r="X1657" s="12"/>
      <c r="Y1657" s="12"/>
      <c r="Z1657" s="12"/>
      <c r="AA1657" s="12"/>
      <c r="AB1657" s="12"/>
      <c r="AC1657" s="12"/>
      <c r="AD1657" s="12"/>
      <c r="AE1657" s="11"/>
    </row>
    <row r="1658" spans="2:31" ht="15">
      <c r="B1658" s="11"/>
      <c r="C1658" s="11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  <c r="AA1658" s="12"/>
      <c r="AB1658" s="12"/>
      <c r="AC1658" s="12"/>
      <c r="AD1658" s="12"/>
      <c r="AE1658" s="11"/>
    </row>
    <row r="1659" spans="2:31" ht="15">
      <c r="B1659" s="11"/>
      <c r="C1659" s="11"/>
      <c r="P1659" s="12"/>
      <c r="Q1659" s="12"/>
      <c r="R1659" s="12"/>
      <c r="S1659" s="12"/>
      <c r="T1659" s="12"/>
      <c r="U1659" s="12"/>
      <c r="V1659" s="12"/>
      <c r="W1659" s="12"/>
      <c r="X1659" s="12"/>
      <c r="Y1659" s="12"/>
      <c r="Z1659" s="12"/>
      <c r="AA1659" s="12"/>
      <c r="AB1659" s="12"/>
      <c r="AC1659" s="12"/>
      <c r="AD1659" s="12"/>
      <c r="AE1659" s="11"/>
    </row>
    <row r="1660" spans="2:31" ht="15">
      <c r="B1660" s="11"/>
      <c r="C1660" s="11"/>
      <c r="P1660" s="12"/>
      <c r="Q1660" s="12"/>
      <c r="R1660" s="12"/>
      <c r="S1660" s="12"/>
      <c r="T1660" s="12"/>
      <c r="U1660" s="12"/>
      <c r="V1660" s="12"/>
      <c r="W1660" s="12"/>
      <c r="X1660" s="12"/>
      <c r="Y1660" s="12"/>
      <c r="Z1660" s="12"/>
      <c r="AA1660" s="12"/>
      <c r="AB1660" s="12"/>
      <c r="AC1660" s="12"/>
      <c r="AD1660" s="12"/>
      <c r="AE1660" s="11"/>
    </row>
    <row r="1661" spans="2:31" ht="15">
      <c r="B1661" s="11"/>
      <c r="C1661" s="11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  <c r="AA1661" s="12"/>
      <c r="AB1661" s="12"/>
      <c r="AC1661" s="12"/>
      <c r="AD1661" s="12"/>
      <c r="AE1661" s="11"/>
    </row>
    <row r="1662" spans="2:31" ht="15">
      <c r="B1662" s="11"/>
      <c r="C1662" s="11"/>
      <c r="P1662" s="12"/>
      <c r="Q1662" s="12"/>
      <c r="R1662" s="12"/>
      <c r="S1662" s="12"/>
      <c r="T1662" s="12"/>
      <c r="U1662" s="12"/>
      <c r="V1662" s="12"/>
      <c r="W1662" s="12"/>
      <c r="X1662" s="12"/>
      <c r="Y1662" s="12"/>
      <c r="Z1662" s="12"/>
      <c r="AA1662" s="12"/>
      <c r="AB1662" s="12"/>
      <c r="AC1662" s="12"/>
      <c r="AD1662" s="12"/>
      <c r="AE1662" s="11"/>
    </row>
    <row r="1663" spans="2:31" ht="15">
      <c r="B1663" s="11"/>
      <c r="C1663" s="11"/>
      <c r="P1663" s="12"/>
      <c r="Q1663" s="12"/>
      <c r="R1663" s="12"/>
      <c r="S1663" s="12"/>
      <c r="T1663" s="12"/>
      <c r="U1663" s="12"/>
      <c r="V1663" s="12"/>
      <c r="W1663" s="12"/>
      <c r="X1663" s="12"/>
      <c r="Y1663" s="12"/>
      <c r="Z1663" s="12"/>
      <c r="AA1663" s="12"/>
      <c r="AB1663" s="12"/>
      <c r="AC1663" s="12"/>
      <c r="AD1663" s="12"/>
      <c r="AE1663" s="11"/>
    </row>
    <row r="1664" spans="2:31" ht="15">
      <c r="B1664" s="11"/>
      <c r="C1664" s="11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  <c r="AA1664" s="12"/>
      <c r="AB1664" s="12"/>
      <c r="AC1664" s="12"/>
      <c r="AD1664" s="12"/>
      <c r="AE1664" s="11"/>
    </row>
    <row r="1665" spans="2:31" ht="15">
      <c r="B1665" s="11"/>
      <c r="C1665" s="11"/>
      <c r="P1665" s="12"/>
      <c r="Q1665" s="12"/>
      <c r="R1665" s="12"/>
      <c r="S1665" s="12"/>
      <c r="T1665" s="12"/>
      <c r="U1665" s="12"/>
      <c r="V1665" s="12"/>
      <c r="W1665" s="12"/>
      <c r="X1665" s="12"/>
      <c r="Y1665" s="12"/>
      <c r="Z1665" s="12"/>
      <c r="AA1665" s="12"/>
      <c r="AB1665" s="12"/>
      <c r="AC1665" s="12"/>
      <c r="AD1665" s="12"/>
      <c r="AE1665" s="11"/>
    </row>
    <row r="1666" spans="2:31" ht="15">
      <c r="B1666" s="11"/>
      <c r="C1666" s="11"/>
      <c r="P1666" s="12"/>
      <c r="Q1666" s="12"/>
      <c r="R1666" s="12"/>
      <c r="S1666" s="12"/>
      <c r="T1666" s="12"/>
      <c r="U1666" s="12"/>
      <c r="V1666" s="12"/>
      <c r="W1666" s="12"/>
      <c r="X1666" s="12"/>
      <c r="Y1666" s="12"/>
      <c r="Z1666" s="12"/>
      <c r="AA1666" s="12"/>
      <c r="AB1666" s="12"/>
      <c r="AC1666" s="12"/>
      <c r="AD1666" s="12"/>
      <c r="AE1666" s="11"/>
    </row>
    <row r="1667" spans="2:31" ht="15">
      <c r="B1667" s="11"/>
      <c r="C1667" s="11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  <c r="AA1667" s="12"/>
      <c r="AB1667" s="12"/>
      <c r="AC1667" s="12"/>
      <c r="AD1667" s="12"/>
      <c r="AE1667" s="11"/>
    </row>
    <row r="1668" spans="2:31" ht="15">
      <c r="B1668" s="11"/>
      <c r="C1668" s="11"/>
      <c r="P1668" s="12"/>
      <c r="Q1668" s="12"/>
      <c r="R1668" s="12"/>
      <c r="S1668" s="12"/>
      <c r="T1668" s="12"/>
      <c r="U1668" s="12"/>
      <c r="V1668" s="12"/>
      <c r="W1668" s="12"/>
      <c r="X1668" s="12"/>
      <c r="Y1668" s="12"/>
      <c r="Z1668" s="12"/>
      <c r="AA1668" s="12"/>
      <c r="AB1668" s="12"/>
      <c r="AC1668" s="12"/>
      <c r="AD1668" s="12"/>
      <c r="AE1668" s="11"/>
    </row>
    <row r="1669" spans="2:31" ht="15">
      <c r="B1669" s="11"/>
      <c r="C1669" s="11"/>
      <c r="P1669" s="12"/>
      <c r="Q1669" s="12"/>
      <c r="R1669" s="12"/>
      <c r="S1669" s="12"/>
      <c r="T1669" s="12"/>
      <c r="U1669" s="12"/>
      <c r="V1669" s="12"/>
      <c r="W1669" s="12"/>
      <c r="X1669" s="12"/>
      <c r="Y1669" s="12"/>
      <c r="Z1669" s="12"/>
      <c r="AA1669" s="12"/>
      <c r="AB1669" s="12"/>
      <c r="AC1669" s="12"/>
      <c r="AD1669" s="12"/>
      <c r="AE1669" s="11"/>
    </row>
    <row r="1670" spans="2:31" ht="15">
      <c r="B1670" s="11"/>
      <c r="C1670" s="11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  <c r="AA1670" s="12"/>
      <c r="AB1670" s="12"/>
      <c r="AC1670" s="12"/>
      <c r="AD1670" s="12"/>
      <c r="AE1670" s="11"/>
    </row>
    <row r="1671" spans="2:31" ht="15">
      <c r="B1671" s="11"/>
      <c r="C1671" s="11"/>
      <c r="P1671" s="12"/>
      <c r="Q1671" s="12"/>
      <c r="R1671" s="12"/>
      <c r="S1671" s="12"/>
      <c r="T1671" s="12"/>
      <c r="U1671" s="12"/>
      <c r="V1671" s="12"/>
      <c r="W1671" s="12"/>
      <c r="X1671" s="12"/>
      <c r="Y1671" s="12"/>
      <c r="Z1671" s="12"/>
      <c r="AA1671" s="12"/>
      <c r="AB1671" s="12"/>
      <c r="AC1671" s="12"/>
      <c r="AD1671" s="12"/>
      <c r="AE1671" s="11"/>
    </row>
    <row r="1672" spans="2:31" ht="15">
      <c r="B1672" s="11"/>
      <c r="C1672" s="11"/>
      <c r="P1672" s="12"/>
      <c r="Q1672" s="12"/>
      <c r="R1672" s="12"/>
      <c r="S1672" s="12"/>
      <c r="T1672" s="12"/>
      <c r="U1672" s="12"/>
      <c r="V1672" s="12"/>
      <c r="W1672" s="12"/>
      <c r="X1672" s="12"/>
      <c r="Y1672" s="12"/>
      <c r="Z1672" s="12"/>
      <c r="AA1672" s="12"/>
      <c r="AB1672" s="12"/>
      <c r="AC1672" s="12"/>
      <c r="AD1672" s="12"/>
      <c r="AE1672" s="11"/>
    </row>
    <row r="1673" spans="2:31" ht="15">
      <c r="B1673" s="11"/>
      <c r="C1673" s="11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  <c r="AA1673" s="12"/>
      <c r="AB1673" s="12"/>
      <c r="AC1673" s="12"/>
      <c r="AD1673" s="12"/>
      <c r="AE1673" s="11"/>
    </row>
    <row r="1674" spans="2:31" ht="15">
      <c r="B1674" s="11"/>
      <c r="C1674" s="11"/>
      <c r="P1674" s="12"/>
      <c r="Q1674" s="12"/>
      <c r="R1674" s="12"/>
      <c r="S1674" s="12"/>
      <c r="T1674" s="12"/>
      <c r="U1674" s="12"/>
      <c r="V1674" s="12"/>
      <c r="W1674" s="12"/>
      <c r="X1674" s="12"/>
      <c r="Y1674" s="12"/>
      <c r="Z1674" s="12"/>
      <c r="AA1674" s="12"/>
      <c r="AB1674" s="12"/>
      <c r="AC1674" s="12"/>
      <c r="AD1674" s="12"/>
      <c r="AE1674" s="11"/>
    </row>
    <row r="1675" spans="2:31" ht="15">
      <c r="B1675" s="11"/>
      <c r="C1675" s="11"/>
      <c r="P1675" s="12"/>
      <c r="Q1675" s="12"/>
      <c r="R1675" s="12"/>
      <c r="S1675" s="12"/>
      <c r="T1675" s="12"/>
      <c r="U1675" s="12"/>
      <c r="V1675" s="12"/>
      <c r="W1675" s="12"/>
      <c r="X1675" s="12"/>
      <c r="Y1675" s="12"/>
      <c r="Z1675" s="12"/>
      <c r="AA1675" s="12"/>
      <c r="AB1675" s="12"/>
      <c r="AC1675" s="12"/>
      <c r="AD1675" s="12"/>
      <c r="AE1675" s="11"/>
    </row>
    <row r="1676" spans="2:31" ht="15">
      <c r="B1676" s="11"/>
      <c r="C1676" s="11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  <c r="AA1676" s="12"/>
      <c r="AB1676" s="12"/>
      <c r="AC1676" s="12"/>
      <c r="AD1676" s="12"/>
      <c r="AE1676" s="11"/>
    </row>
    <row r="1677" spans="2:31" ht="15">
      <c r="B1677" s="11"/>
      <c r="C1677" s="11"/>
      <c r="P1677" s="12"/>
      <c r="Q1677" s="12"/>
      <c r="R1677" s="12"/>
      <c r="S1677" s="12"/>
      <c r="T1677" s="12"/>
      <c r="U1677" s="12"/>
      <c r="V1677" s="12"/>
      <c r="W1677" s="12"/>
      <c r="X1677" s="12"/>
      <c r="Y1677" s="12"/>
      <c r="Z1677" s="12"/>
      <c r="AA1677" s="12"/>
      <c r="AB1677" s="12"/>
      <c r="AC1677" s="12"/>
      <c r="AD1677" s="12"/>
      <c r="AE1677" s="11"/>
    </row>
    <row r="1678" spans="2:31" ht="15">
      <c r="B1678" s="11"/>
      <c r="C1678" s="11"/>
      <c r="P1678" s="12"/>
      <c r="Q1678" s="12"/>
      <c r="R1678" s="12"/>
      <c r="S1678" s="12"/>
      <c r="T1678" s="12"/>
      <c r="U1678" s="12"/>
      <c r="V1678" s="12"/>
      <c r="W1678" s="12"/>
      <c r="X1678" s="12"/>
      <c r="Y1678" s="12"/>
      <c r="Z1678" s="12"/>
      <c r="AA1678" s="12"/>
      <c r="AB1678" s="12"/>
      <c r="AC1678" s="12"/>
      <c r="AD1678" s="12"/>
      <c r="AE1678" s="11"/>
    </row>
    <row r="1679" spans="2:31" ht="15">
      <c r="B1679" s="11"/>
      <c r="C1679" s="11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  <c r="AA1679" s="12"/>
      <c r="AB1679" s="12"/>
      <c r="AC1679" s="12"/>
      <c r="AD1679" s="12"/>
      <c r="AE1679" s="11"/>
    </row>
    <row r="1680" spans="2:31" ht="15">
      <c r="B1680" s="11"/>
      <c r="C1680" s="11"/>
      <c r="P1680" s="12"/>
      <c r="Q1680" s="12"/>
      <c r="R1680" s="12"/>
      <c r="S1680" s="12"/>
      <c r="T1680" s="12"/>
      <c r="U1680" s="12"/>
      <c r="V1680" s="12"/>
      <c r="W1680" s="12"/>
      <c r="X1680" s="12"/>
      <c r="Y1680" s="12"/>
      <c r="Z1680" s="12"/>
      <c r="AA1680" s="12"/>
      <c r="AB1680" s="12"/>
      <c r="AC1680" s="12"/>
      <c r="AD1680" s="12"/>
      <c r="AE1680" s="11"/>
    </row>
    <row r="1681" spans="2:31" ht="15">
      <c r="B1681" s="11"/>
      <c r="C1681" s="11"/>
      <c r="P1681" s="12"/>
      <c r="Q1681" s="12"/>
      <c r="R1681" s="12"/>
      <c r="S1681" s="12"/>
      <c r="T1681" s="12"/>
      <c r="U1681" s="12"/>
      <c r="V1681" s="12"/>
      <c r="W1681" s="12"/>
      <c r="X1681" s="12"/>
      <c r="Y1681" s="12"/>
      <c r="Z1681" s="12"/>
      <c r="AA1681" s="12"/>
      <c r="AB1681" s="12"/>
      <c r="AC1681" s="12"/>
      <c r="AD1681" s="12"/>
      <c r="AE1681" s="11"/>
    </row>
    <row r="1682" spans="2:31" ht="15">
      <c r="B1682" s="11"/>
      <c r="C1682" s="11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  <c r="AA1682" s="12"/>
      <c r="AB1682" s="12"/>
      <c r="AC1682" s="12"/>
      <c r="AD1682" s="12"/>
      <c r="AE1682" s="11"/>
    </row>
    <row r="1683" spans="2:31" ht="15">
      <c r="B1683" s="11"/>
      <c r="C1683" s="11"/>
      <c r="P1683" s="12"/>
      <c r="Q1683" s="12"/>
      <c r="R1683" s="12"/>
      <c r="S1683" s="12"/>
      <c r="T1683" s="12"/>
      <c r="U1683" s="12"/>
      <c r="V1683" s="12"/>
      <c r="W1683" s="12"/>
      <c r="X1683" s="12"/>
      <c r="Y1683" s="12"/>
      <c r="Z1683" s="12"/>
      <c r="AA1683" s="12"/>
      <c r="AB1683" s="12"/>
      <c r="AC1683" s="12"/>
      <c r="AD1683" s="12"/>
      <c r="AE1683" s="11"/>
    </row>
    <row r="1684" spans="2:31" ht="15">
      <c r="B1684" s="11"/>
      <c r="C1684" s="11"/>
      <c r="P1684" s="12"/>
      <c r="Q1684" s="12"/>
      <c r="R1684" s="12"/>
      <c r="S1684" s="12"/>
      <c r="T1684" s="12"/>
      <c r="U1684" s="12"/>
      <c r="V1684" s="12"/>
      <c r="W1684" s="12"/>
      <c r="X1684" s="12"/>
      <c r="Y1684" s="12"/>
      <c r="Z1684" s="12"/>
      <c r="AA1684" s="12"/>
      <c r="AB1684" s="12"/>
      <c r="AC1684" s="12"/>
      <c r="AD1684" s="12"/>
      <c r="AE1684" s="11"/>
    </row>
    <row r="1685" spans="2:31" ht="15">
      <c r="B1685" s="11"/>
      <c r="C1685" s="11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  <c r="AA1685" s="12"/>
      <c r="AB1685" s="12"/>
      <c r="AC1685" s="12"/>
      <c r="AD1685" s="12"/>
      <c r="AE1685" s="11"/>
    </row>
    <row r="1686" spans="2:31" ht="15">
      <c r="B1686" s="11"/>
      <c r="C1686" s="11"/>
      <c r="P1686" s="12"/>
      <c r="Q1686" s="12"/>
      <c r="R1686" s="12"/>
      <c r="S1686" s="12"/>
      <c r="T1686" s="12"/>
      <c r="U1686" s="12"/>
      <c r="V1686" s="12"/>
      <c r="W1686" s="12"/>
      <c r="X1686" s="12"/>
      <c r="Y1686" s="12"/>
      <c r="Z1686" s="12"/>
      <c r="AA1686" s="12"/>
      <c r="AB1686" s="12"/>
      <c r="AC1686" s="12"/>
      <c r="AD1686" s="12"/>
      <c r="AE1686" s="11"/>
    </row>
    <row r="1687" spans="2:31" ht="15">
      <c r="B1687" s="11"/>
      <c r="C1687" s="11"/>
      <c r="P1687" s="12"/>
      <c r="Q1687" s="12"/>
      <c r="R1687" s="12"/>
      <c r="S1687" s="12"/>
      <c r="T1687" s="12"/>
      <c r="U1687" s="12"/>
      <c r="V1687" s="12"/>
      <c r="W1687" s="12"/>
      <c r="X1687" s="12"/>
      <c r="Y1687" s="12"/>
      <c r="Z1687" s="12"/>
      <c r="AA1687" s="12"/>
      <c r="AB1687" s="12"/>
      <c r="AC1687" s="12"/>
      <c r="AD1687" s="12"/>
      <c r="AE1687" s="11"/>
    </row>
    <row r="1688" spans="2:31" ht="15">
      <c r="B1688" s="11"/>
      <c r="C1688" s="11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  <c r="AA1688" s="12"/>
      <c r="AB1688" s="12"/>
      <c r="AC1688" s="12"/>
      <c r="AD1688" s="12"/>
      <c r="AE1688" s="11"/>
    </row>
    <row r="1689" spans="2:31" ht="15">
      <c r="B1689" s="11"/>
      <c r="C1689" s="11"/>
      <c r="P1689" s="12"/>
      <c r="Q1689" s="12"/>
      <c r="R1689" s="12"/>
      <c r="S1689" s="12"/>
      <c r="T1689" s="12"/>
      <c r="U1689" s="12"/>
      <c r="V1689" s="12"/>
      <c r="W1689" s="12"/>
      <c r="X1689" s="12"/>
      <c r="Y1689" s="12"/>
      <c r="Z1689" s="12"/>
      <c r="AA1689" s="12"/>
      <c r="AB1689" s="12"/>
      <c r="AC1689" s="12"/>
      <c r="AD1689" s="12"/>
      <c r="AE1689" s="11"/>
    </row>
    <row r="1690" spans="2:31" ht="15">
      <c r="B1690" s="11"/>
      <c r="C1690" s="11"/>
      <c r="P1690" s="12"/>
      <c r="Q1690" s="12"/>
      <c r="R1690" s="12"/>
      <c r="S1690" s="12"/>
      <c r="T1690" s="12"/>
      <c r="U1690" s="12"/>
      <c r="V1690" s="12"/>
      <c r="W1690" s="12"/>
      <c r="X1690" s="12"/>
      <c r="Y1690" s="12"/>
      <c r="Z1690" s="12"/>
      <c r="AA1690" s="12"/>
      <c r="AB1690" s="12"/>
      <c r="AC1690" s="12"/>
      <c r="AD1690" s="12"/>
      <c r="AE1690" s="11"/>
    </row>
    <row r="1691" spans="2:31" ht="15">
      <c r="B1691" s="11"/>
      <c r="C1691" s="11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  <c r="AA1691" s="12"/>
      <c r="AB1691" s="12"/>
      <c r="AC1691" s="12"/>
      <c r="AD1691" s="12"/>
      <c r="AE1691" s="11"/>
    </row>
    <row r="1692" spans="2:31" ht="15">
      <c r="B1692" s="11"/>
      <c r="C1692" s="11"/>
      <c r="P1692" s="12"/>
      <c r="Q1692" s="12"/>
      <c r="R1692" s="12"/>
      <c r="S1692" s="12"/>
      <c r="T1692" s="12"/>
      <c r="U1692" s="12"/>
      <c r="V1692" s="12"/>
      <c r="W1692" s="12"/>
      <c r="X1692" s="12"/>
      <c r="Y1692" s="12"/>
      <c r="Z1692" s="12"/>
      <c r="AA1692" s="12"/>
      <c r="AB1692" s="12"/>
      <c r="AC1692" s="12"/>
      <c r="AD1692" s="12"/>
      <c r="AE1692" s="11"/>
    </row>
    <row r="1693" spans="2:31" ht="15">
      <c r="B1693" s="11"/>
      <c r="C1693" s="11"/>
      <c r="P1693" s="12"/>
      <c r="Q1693" s="12"/>
      <c r="R1693" s="12"/>
      <c r="S1693" s="12"/>
      <c r="T1693" s="12"/>
      <c r="U1693" s="12"/>
      <c r="V1693" s="12"/>
      <c r="W1693" s="12"/>
      <c r="X1693" s="12"/>
      <c r="Y1693" s="12"/>
      <c r="Z1693" s="12"/>
      <c r="AA1693" s="12"/>
      <c r="AB1693" s="12"/>
      <c r="AC1693" s="12"/>
      <c r="AD1693" s="12"/>
      <c r="AE1693" s="11"/>
    </row>
    <row r="1694" spans="2:31" ht="15">
      <c r="B1694" s="11"/>
      <c r="C1694" s="11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1"/>
    </row>
    <row r="1695" spans="2:31" ht="15">
      <c r="B1695" s="11"/>
      <c r="C1695" s="11"/>
      <c r="P1695" s="12"/>
      <c r="Q1695" s="12"/>
      <c r="R1695" s="12"/>
      <c r="S1695" s="12"/>
      <c r="T1695" s="12"/>
      <c r="U1695" s="12"/>
      <c r="V1695" s="12"/>
      <c r="W1695" s="12"/>
      <c r="X1695" s="12"/>
      <c r="Y1695" s="12"/>
      <c r="Z1695" s="12"/>
      <c r="AA1695" s="12"/>
      <c r="AB1695" s="12"/>
      <c r="AC1695" s="12"/>
      <c r="AD1695" s="12"/>
      <c r="AE1695" s="11"/>
    </row>
    <row r="1696" spans="2:31" ht="15">
      <c r="B1696" s="11"/>
      <c r="C1696" s="11"/>
      <c r="P1696" s="12"/>
      <c r="Q1696" s="12"/>
      <c r="R1696" s="12"/>
      <c r="S1696" s="12"/>
      <c r="T1696" s="12"/>
      <c r="U1696" s="12"/>
      <c r="V1696" s="12"/>
      <c r="W1696" s="12"/>
      <c r="X1696" s="12"/>
      <c r="Y1696" s="12"/>
      <c r="Z1696" s="12"/>
      <c r="AA1696" s="12"/>
      <c r="AB1696" s="12"/>
      <c r="AC1696" s="12"/>
      <c r="AD1696" s="12"/>
      <c r="AE1696" s="11"/>
    </row>
    <row r="1697" spans="2:31" ht="15">
      <c r="B1697" s="11"/>
      <c r="C1697" s="11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  <c r="AA1697" s="12"/>
      <c r="AB1697" s="12"/>
      <c r="AC1697" s="12"/>
      <c r="AD1697" s="12"/>
      <c r="AE1697" s="11"/>
    </row>
    <row r="1698" spans="2:31" ht="15">
      <c r="B1698" s="11"/>
      <c r="C1698" s="11"/>
      <c r="P1698" s="12"/>
      <c r="Q1698" s="12"/>
      <c r="R1698" s="12"/>
      <c r="S1698" s="12"/>
      <c r="T1698" s="12"/>
      <c r="U1698" s="12"/>
      <c r="V1698" s="12"/>
      <c r="W1698" s="12"/>
      <c r="X1698" s="12"/>
      <c r="Y1698" s="12"/>
      <c r="Z1698" s="12"/>
      <c r="AA1698" s="12"/>
      <c r="AB1698" s="12"/>
      <c r="AC1698" s="12"/>
      <c r="AD1698" s="12"/>
      <c r="AE1698" s="11"/>
    </row>
    <row r="1699" spans="2:31" ht="15">
      <c r="B1699" s="11"/>
      <c r="C1699" s="11"/>
      <c r="P1699" s="12"/>
      <c r="Q1699" s="12"/>
      <c r="R1699" s="12"/>
      <c r="S1699" s="12"/>
      <c r="T1699" s="12"/>
      <c r="U1699" s="12"/>
      <c r="V1699" s="12"/>
      <c r="W1699" s="12"/>
      <c r="X1699" s="12"/>
      <c r="Y1699" s="12"/>
      <c r="Z1699" s="12"/>
      <c r="AA1699" s="12"/>
      <c r="AB1699" s="12"/>
      <c r="AC1699" s="12"/>
      <c r="AD1699" s="12"/>
      <c r="AE1699" s="11"/>
    </row>
    <row r="1700" spans="2:31" ht="15">
      <c r="B1700" s="11"/>
      <c r="C1700" s="11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  <c r="AA1700" s="12"/>
      <c r="AB1700" s="12"/>
      <c r="AC1700" s="12"/>
      <c r="AD1700" s="12"/>
      <c r="AE1700" s="11"/>
    </row>
    <row r="1701" spans="2:31" ht="15">
      <c r="B1701" s="11"/>
      <c r="C1701" s="11"/>
      <c r="P1701" s="12"/>
      <c r="Q1701" s="12"/>
      <c r="R1701" s="12"/>
      <c r="S1701" s="12"/>
      <c r="T1701" s="12"/>
      <c r="U1701" s="12"/>
      <c r="V1701" s="12"/>
      <c r="W1701" s="12"/>
      <c r="X1701" s="12"/>
      <c r="Y1701" s="12"/>
      <c r="Z1701" s="12"/>
      <c r="AA1701" s="12"/>
      <c r="AB1701" s="12"/>
      <c r="AC1701" s="12"/>
      <c r="AD1701" s="12"/>
      <c r="AE1701" s="11"/>
    </row>
    <row r="1702" spans="2:31" ht="15">
      <c r="B1702" s="11"/>
      <c r="C1702" s="11"/>
      <c r="P1702" s="12"/>
      <c r="Q1702" s="12"/>
      <c r="R1702" s="12"/>
      <c r="S1702" s="12"/>
      <c r="T1702" s="12"/>
      <c r="U1702" s="12"/>
      <c r="V1702" s="12"/>
      <c r="W1702" s="12"/>
      <c r="X1702" s="12"/>
      <c r="Y1702" s="12"/>
      <c r="Z1702" s="12"/>
      <c r="AA1702" s="12"/>
      <c r="AB1702" s="12"/>
      <c r="AC1702" s="12"/>
      <c r="AD1702" s="12"/>
      <c r="AE1702" s="11"/>
    </row>
    <row r="1703" spans="2:31" ht="15">
      <c r="B1703" s="11"/>
      <c r="C1703" s="11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  <c r="AA1703" s="12"/>
      <c r="AB1703" s="12"/>
      <c r="AC1703" s="12"/>
      <c r="AD1703" s="12"/>
      <c r="AE1703" s="11"/>
    </row>
    <row r="1704" spans="2:31" ht="15">
      <c r="B1704" s="11"/>
      <c r="C1704" s="11"/>
      <c r="P1704" s="12"/>
      <c r="Q1704" s="12"/>
      <c r="R1704" s="12"/>
      <c r="S1704" s="12"/>
      <c r="T1704" s="12"/>
      <c r="U1704" s="12"/>
      <c r="V1704" s="12"/>
      <c r="W1704" s="12"/>
      <c r="X1704" s="12"/>
      <c r="Y1704" s="12"/>
      <c r="Z1704" s="12"/>
      <c r="AA1704" s="12"/>
      <c r="AB1704" s="12"/>
      <c r="AC1704" s="12"/>
      <c r="AD1704" s="12"/>
      <c r="AE1704" s="11"/>
    </row>
    <row r="1705" spans="2:31" ht="15">
      <c r="B1705" s="11"/>
      <c r="C1705" s="11"/>
      <c r="P1705" s="12"/>
      <c r="Q1705" s="12"/>
      <c r="R1705" s="12"/>
      <c r="S1705" s="12"/>
      <c r="T1705" s="12"/>
      <c r="U1705" s="12"/>
      <c r="V1705" s="12"/>
      <c r="W1705" s="12"/>
      <c r="X1705" s="12"/>
      <c r="Y1705" s="12"/>
      <c r="Z1705" s="12"/>
      <c r="AA1705" s="12"/>
      <c r="AB1705" s="12"/>
      <c r="AC1705" s="12"/>
      <c r="AD1705" s="12"/>
      <c r="AE1705" s="11"/>
    </row>
    <row r="1706" spans="2:31" ht="15">
      <c r="B1706" s="11"/>
      <c r="C1706" s="11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  <c r="AA1706" s="12"/>
      <c r="AB1706" s="12"/>
      <c r="AC1706" s="12"/>
      <c r="AD1706" s="12"/>
      <c r="AE1706" s="11"/>
    </row>
    <row r="1707" spans="2:31" ht="15">
      <c r="B1707" s="11"/>
      <c r="C1707" s="11"/>
      <c r="P1707" s="12"/>
      <c r="Q1707" s="12"/>
      <c r="R1707" s="12"/>
      <c r="S1707" s="12"/>
      <c r="T1707" s="12"/>
      <c r="U1707" s="12"/>
      <c r="V1707" s="12"/>
      <c r="W1707" s="12"/>
      <c r="X1707" s="12"/>
      <c r="Y1707" s="12"/>
      <c r="Z1707" s="12"/>
      <c r="AA1707" s="12"/>
      <c r="AB1707" s="12"/>
      <c r="AC1707" s="12"/>
      <c r="AD1707" s="12"/>
      <c r="AE1707" s="11"/>
    </row>
  </sheetData>
  <sheetProtection password="CF7A" sheet="1" selectLockedCells="1"/>
  <mergeCells count="3">
    <mergeCell ref="E4:G4"/>
    <mergeCell ref="H4:J4"/>
    <mergeCell ref="D2:O2"/>
  </mergeCells>
  <phoneticPr fontId="0" type="noConversion"/>
  <printOptions horizontalCentered="1"/>
  <pageMargins left="0.1" right="0.1" top="1" bottom="1" header="0.5" footer="0.5"/>
  <pageSetup paperSize="9" scale="80" orientation="portrait" horizontalDpi="300" verticalDpi="300" r:id="rId1"/>
  <headerFooter alignWithMargins="0"/>
  <colBreaks count="1" manualBreakCount="1">
    <brk id="30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theme="0" tint="-0.14999847407452621"/>
    <pageSetUpPr fitToPage="1"/>
  </sheetPr>
  <dimension ref="C1:AG58"/>
  <sheetViews>
    <sheetView showGridLines="0" showRowColHeaders="0" topLeftCell="D1" workbookViewId="0">
      <selection activeCell="F12" sqref="F12"/>
    </sheetView>
  </sheetViews>
  <sheetFormatPr defaultColWidth="9.33203125" defaultRowHeight="14.25"/>
  <cols>
    <col min="1" max="3" width="0" style="2" hidden="1" customWidth="1"/>
    <col min="4" max="4" width="9.33203125" style="2"/>
    <col min="5" max="5" width="13.33203125" style="87" bestFit="1" customWidth="1"/>
    <col min="6" max="6" width="6.83203125" style="87" customWidth="1"/>
    <col min="7" max="7" width="7.83203125" style="87" customWidth="1"/>
    <col min="8" max="8" width="6.83203125" style="87" customWidth="1"/>
    <col min="9" max="9" width="4.6640625" style="87" customWidth="1"/>
    <col min="10" max="10" width="9.33203125" style="87"/>
    <col min="11" max="11" width="6.83203125" style="87" customWidth="1"/>
    <col min="12" max="12" width="7.83203125" style="87" customWidth="1"/>
    <col min="13" max="13" width="6.83203125" style="87" customWidth="1"/>
    <col min="14" max="14" width="9.33203125" style="87"/>
    <col min="15" max="20" width="0" style="87" hidden="1" customWidth="1"/>
    <col min="21" max="21" width="9.33203125" style="87"/>
    <col min="22" max="22" width="10.1640625" style="87" customWidth="1"/>
    <col min="23" max="33" width="9.33203125" style="87"/>
    <col min="34" max="16384" width="9.33203125" style="2"/>
  </cols>
  <sheetData>
    <row r="1" spans="3:30" ht="22.5">
      <c r="D1" s="593" t="s">
        <v>400</v>
      </c>
      <c r="E1" s="593"/>
      <c r="F1" s="593"/>
      <c r="G1" s="593"/>
      <c r="H1" s="593"/>
      <c r="I1" s="593"/>
      <c r="J1" s="593"/>
      <c r="K1" s="593"/>
      <c r="L1" s="593"/>
      <c r="M1" s="593"/>
      <c r="N1" s="593"/>
      <c r="O1" s="593"/>
      <c r="P1" s="593"/>
      <c r="Q1" s="593"/>
      <c r="R1" s="593"/>
      <c r="S1" s="593"/>
      <c r="T1" s="593"/>
      <c r="U1" s="593"/>
      <c r="V1" s="593"/>
      <c r="W1" s="593"/>
      <c r="X1" s="593"/>
      <c r="Y1" s="593"/>
      <c r="Z1" s="593"/>
      <c r="AA1" s="593"/>
      <c r="AB1" s="593"/>
      <c r="AC1" s="593"/>
      <c r="AD1" s="593"/>
    </row>
    <row r="4" spans="3:30" ht="15">
      <c r="C4" s="12"/>
      <c r="D4" s="12"/>
    </row>
    <row r="5" spans="3:30" ht="15">
      <c r="C5" s="12"/>
      <c r="D5" s="12"/>
      <c r="E5" s="310" t="s">
        <v>55</v>
      </c>
      <c r="F5" s="310"/>
      <c r="G5" s="310"/>
      <c r="H5" s="310"/>
      <c r="I5" s="310"/>
      <c r="J5" s="310"/>
      <c r="K5" s="310"/>
      <c r="L5" s="310"/>
    </row>
    <row r="6" spans="3:30" ht="15">
      <c r="C6" s="12"/>
      <c r="D6" s="12"/>
      <c r="E6" s="310" t="s">
        <v>63</v>
      </c>
      <c r="F6" s="310"/>
      <c r="G6" s="310"/>
      <c r="H6" s="310"/>
      <c r="I6" s="310"/>
      <c r="J6" s="310"/>
      <c r="K6" s="310"/>
      <c r="L6" s="310"/>
    </row>
    <row r="7" spans="3:30" ht="15">
      <c r="C7" s="12"/>
      <c r="D7" s="12"/>
      <c r="E7" s="310" t="s">
        <v>61</v>
      </c>
      <c r="F7" s="310"/>
      <c r="G7" s="310"/>
      <c r="H7" s="310"/>
      <c r="I7" s="310"/>
      <c r="J7" s="310"/>
      <c r="K7" s="310"/>
      <c r="L7" s="310"/>
    </row>
    <row r="8" spans="3:30" ht="15">
      <c r="C8" s="12"/>
      <c r="D8" s="12"/>
      <c r="E8" s="310" t="s">
        <v>62</v>
      </c>
      <c r="F8" s="310"/>
      <c r="G8" s="310"/>
      <c r="H8" s="310"/>
      <c r="I8" s="310"/>
      <c r="J8" s="310"/>
      <c r="K8" s="310"/>
      <c r="L8" s="310"/>
    </row>
    <row r="9" spans="3:30" ht="15">
      <c r="C9" s="12"/>
      <c r="D9" s="12"/>
      <c r="E9" s="310" t="s">
        <v>64</v>
      </c>
      <c r="F9" s="310"/>
      <c r="G9" s="310"/>
      <c r="H9" s="310"/>
      <c r="I9" s="310"/>
      <c r="J9" s="310"/>
      <c r="K9" s="310"/>
      <c r="L9" s="310"/>
    </row>
    <row r="10" spans="3:30" ht="15">
      <c r="C10" s="12"/>
      <c r="D10" s="12"/>
      <c r="E10" s="310"/>
      <c r="F10" s="310"/>
      <c r="G10" s="310"/>
      <c r="H10" s="310"/>
      <c r="I10" s="310"/>
      <c r="J10" s="310"/>
      <c r="K10" s="310"/>
      <c r="L10" s="310"/>
    </row>
    <row r="11" spans="3:30" ht="15.75" thickBot="1">
      <c r="C11" s="12"/>
      <c r="D11" s="12"/>
      <c r="E11" s="598" t="s">
        <v>13</v>
      </c>
      <c r="F11" s="599"/>
      <c r="G11" s="599"/>
      <c r="H11" s="600"/>
      <c r="J11" s="598" t="s">
        <v>12</v>
      </c>
      <c r="K11" s="599"/>
      <c r="L11" s="599"/>
      <c r="M11" s="600"/>
    </row>
    <row r="12" spans="3:30" ht="16.5" thickTop="1" thickBot="1">
      <c r="C12" s="12"/>
      <c r="D12" s="12"/>
      <c r="E12" s="332" t="s">
        <v>392</v>
      </c>
      <c r="F12" s="311">
        <v>32</v>
      </c>
      <c r="G12" s="312">
        <v>34</v>
      </c>
      <c r="H12" s="313" t="s">
        <v>9</v>
      </c>
      <c r="I12" s="105"/>
      <c r="J12" s="332" t="s">
        <v>393</v>
      </c>
      <c r="K12" s="311">
        <v>34</v>
      </c>
      <c r="L12" s="312">
        <v>32</v>
      </c>
      <c r="M12" s="313" t="s">
        <v>9</v>
      </c>
      <c r="Q12" s="87">
        <f>IF(H12="N",F12+G12/60,-F12-G12/60)</f>
        <v>32.56666666666667</v>
      </c>
      <c r="S12" s="87">
        <f>IF(M12="N",K12+L12/60,-K12-L12/60)</f>
        <v>34.533333333333331</v>
      </c>
      <c r="U12" s="314" t="s">
        <v>42</v>
      </c>
      <c r="V12" s="315">
        <f>E20</f>
        <v>40.514326700392964</v>
      </c>
      <c r="AC12" s="316" t="s">
        <v>394</v>
      </c>
    </row>
    <row r="13" spans="3:30" ht="15.75" thickTop="1">
      <c r="C13" s="12"/>
      <c r="D13" s="12"/>
      <c r="E13" s="333" t="s">
        <v>395</v>
      </c>
      <c r="F13" s="317">
        <v>126</v>
      </c>
      <c r="G13" s="318">
        <v>39</v>
      </c>
      <c r="H13" s="107" t="s">
        <v>76</v>
      </c>
      <c r="I13" s="105"/>
      <c r="J13" s="333" t="s">
        <v>396</v>
      </c>
      <c r="K13" s="317">
        <v>128</v>
      </c>
      <c r="L13" s="318">
        <v>40</v>
      </c>
      <c r="M13" s="107" t="s">
        <v>76</v>
      </c>
      <c r="Q13" s="87">
        <f>IF(H13="E",F13+G13/60,-F13-G13/60)</f>
        <v>126.65</v>
      </c>
      <c r="S13" s="87">
        <f>IF(M13="E",K13+L13/60,-K13-L13/60)</f>
        <v>128.66666666666666</v>
      </c>
    </row>
    <row r="14" spans="3:30" ht="15.75" thickBot="1">
      <c r="C14" s="12"/>
      <c r="D14" s="12"/>
      <c r="E14" s="105"/>
      <c r="F14" s="105"/>
      <c r="G14" s="105"/>
      <c r="H14" s="105"/>
      <c r="I14" s="105"/>
      <c r="J14" s="105"/>
      <c r="K14" s="105"/>
      <c r="L14" s="105"/>
      <c r="M14" s="105"/>
    </row>
    <row r="15" spans="3:30" ht="15" hidden="1">
      <c r="C15" s="12"/>
      <c r="D15" s="12"/>
      <c r="E15" s="105">
        <f>3437.746771*LN(TAN(RADIANS(45+S12/2)))</f>
        <v>2210.2018819453369</v>
      </c>
      <c r="F15" s="105"/>
      <c r="G15" s="105"/>
      <c r="H15" s="105"/>
      <c r="I15" s="105"/>
      <c r="J15" s="105"/>
      <c r="K15" s="105"/>
      <c r="L15" s="105"/>
      <c r="M15" s="105"/>
      <c r="Q15" s="87">
        <f>Q12*60</f>
        <v>1954.0000000000002</v>
      </c>
      <c r="S15" s="87">
        <f>S12*60</f>
        <v>2072</v>
      </c>
    </row>
    <row r="16" spans="3:30" ht="15" hidden="1">
      <c r="C16" s="12"/>
      <c r="D16" s="12"/>
      <c r="E16" s="105">
        <f>3437.746771*LN(TAN(RADIANS(45+Q12/2)))</f>
        <v>2068.6007966322472</v>
      </c>
      <c r="F16" s="105"/>
      <c r="G16" s="105"/>
      <c r="H16" s="105"/>
      <c r="I16" s="105"/>
      <c r="J16" s="105"/>
      <c r="K16" s="105"/>
      <c r="L16" s="105"/>
      <c r="M16" s="105"/>
      <c r="Q16" s="87">
        <f>Q13*60</f>
        <v>7599</v>
      </c>
      <c r="S16" s="87">
        <f>S13*60</f>
        <v>7719.9999999999991</v>
      </c>
    </row>
    <row r="17" spans="3:27" ht="15" hidden="1">
      <c r="C17" s="12"/>
      <c r="D17" s="12"/>
      <c r="E17" s="105">
        <f>ABS(E15-E16)</f>
        <v>141.6010853130897</v>
      </c>
      <c r="F17" s="105"/>
      <c r="G17" s="105"/>
      <c r="H17" s="105"/>
      <c r="I17" s="105"/>
      <c r="J17" s="105"/>
      <c r="K17" s="105"/>
      <c r="L17" s="105"/>
      <c r="M17" s="105"/>
    </row>
    <row r="18" spans="3:27" ht="15" hidden="1">
      <c r="C18" s="12"/>
      <c r="D18" s="12"/>
      <c r="E18" s="105"/>
      <c r="F18" s="105"/>
      <c r="G18" s="105"/>
      <c r="H18" s="105"/>
      <c r="I18" s="105"/>
      <c r="J18" s="105"/>
      <c r="K18" s="105"/>
      <c r="L18" s="105"/>
      <c r="M18" s="105"/>
      <c r="R18" s="87">
        <f>S15-Q15</f>
        <v>117.99999999999977</v>
      </c>
    </row>
    <row r="19" spans="3:27" ht="15" hidden="1">
      <c r="C19" s="12"/>
      <c r="D19" s="12"/>
      <c r="E19" s="105">
        <f>ABS(DEGREES(ATAN(R19/E17)))</f>
        <v>40.514326700392964</v>
      </c>
      <c r="F19" s="105"/>
      <c r="G19" s="105"/>
      <c r="H19" s="105"/>
      <c r="I19" s="105"/>
      <c r="J19" s="105"/>
      <c r="K19" s="105"/>
      <c r="L19" s="105"/>
      <c r="M19" s="105"/>
      <c r="R19" s="87">
        <f>IF(ABS(S16-Q16)&gt;10800,IF((S16-Q16)&lt;0,S16-Q16+21600,21600-S16+Q16),S16-Q16)</f>
        <v>120.99999999999909</v>
      </c>
    </row>
    <row r="20" spans="3:27" ht="15" hidden="1">
      <c r="C20" s="12"/>
      <c r="D20" s="12"/>
      <c r="E20" s="105">
        <f>IF(R19&gt;0,IF(R18&gt;0,E19,180-E19),IF(R18&gt;0,360-E19,180+E19))</f>
        <v>40.514326700392964</v>
      </c>
      <c r="F20" s="105"/>
      <c r="G20" s="105"/>
      <c r="H20" s="105"/>
      <c r="I20" s="105"/>
      <c r="J20" s="105"/>
      <c r="K20" s="105"/>
      <c r="L20" s="105"/>
      <c r="M20" s="105"/>
    </row>
    <row r="21" spans="3:27" ht="15" hidden="1">
      <c r="C21" s="12"/>
      <c r="D21" s="12"/>
      <c r="E21" s="105"/>
      <c r="F21" s="105"/>
      <c r="G21" s="105"/>
      <c r="H21" s="105"/>
      <c r="I21" s="105"/>
      <c r="J21" s="105"/>
      <c r="K21" s="105"/>
      <c r="L21" s="105"/>
      <c r="M21" s="105"/>
    </row>
    <row r="22" spans="3:27" ht="15" hidden="1">
      <c r="C22" s="12"/>
      <c r="D22" s="12"/>
      <c r="E22" s="105">
        <f>R18/COS(RADIANS(E20))*1.001795274</f>
        <v>155.49206902468475</v>
      </c>
      <c r="F22" s="105"/>
      <c r="G22" s="105"/>
      <c r="H22" s="105"/>
      <c r="I22" s="105"/>
      <c r="J22" s="105"/>
      <c r="K22" s="105"/>
      <c r="L22" s="105"/>
      <c r="M22" s="105"/>
    </row>
    <row r="23" spans="3:27" ht="15" hidden="1">
      <c r="C23" s="12"/>
      <c r="D23" s="12"/>
      <c r="E23" s="105"/>
      <c r="F23" s="105"/>
      <c r="G23" s="105"/>
      <c r="H23" s="105"/>
      <c r="I23" s="105"/>
      <c r="J23" s="105"/>
      <c r="K23" s="105"/>
      <c r="L23" s="105"/>
      <c r="M23" s="105"/>
    </row>
    <row r="24" spans="3:27" ht="15.75" thickBot="1">
      <c r="C24" s="12"/>
      <c r="D24" s="12"/>
      <c r="E24" s="595" t="s">
        <v>53</v>
      </c>
      <c r="F24" s="596"/>
      <c r="G24" s="596"/>
      <c r="H24" s="597"/>
      <c r="I24" s="319"/>
      <c r="J24" s="105"/>
      <c r="K24" s="105"/>
      <c r="L24" s="105"/>
      <c r="M24" s="105"/>
      <c r="AA24" s="308" t="s">
        <v>397</v>
      </c>
    </row>
    <row r="25" spans="3:27" ht="15.75" thickBot="1">
      <c r="C25" s="12"/>
      <c r="D25" s="12"/>
      <c r="E25" s="334" t="s">
        <v>380</v>
      </c>
      <c r="F25" s="320">
        <v>33</v>
      </c>
      <c r="G25" s="321">
        <v>49.18</v>
      </c>
      <c r="H25" s="313" t="s">
        <v>9</v>
      </c>
      <c r="I25" s="322"/>
      <c r="J25" s="323" t="s">
        <v>56</v>
      </c>
      <c r="K25" s="105"/>
      <c r="L25" s="105"/>
      <c r="M25" s="105"/>
      <c r="N25" s="105"/>
      <c r="O25" s="105">
        <f>LN(5)</f>
        <v>1.6094379124341003</v>
      </c>
      <c r="P25" s="105"/>
      <c r="T25" s="87">
        <f>IF(H25="N",F25+G25/60,-F25-G25/60)</f>
        <v>33.81966666666667</v>
      </c>
    </row>
    <row r="26" spans="3:27" ht="16.5" thickTop="1" thickBot="1">
      <c r="C26" s="12"/>
      <c r="D26" s="12"/>
      <c r="E26" s="309" t="s">
        <v>397</v>
      </c>
      <c r="F26" s="324">
        <f>INT(E35)</f>
        <v>127</v>
      </c>
      <c r="G26" s="325">
        <f>(E35-F26)*60</f>
        <v>55.771518861216691</v>
      </c>
      <c r="H26" s="326" t="str">
        <f>IF(E34&gt;0,"E","W")</f>
        <v>E</v>
      </c>
      <c r="I26" s="105"/>
      <c r="J26" s="105"/>
      <c r="K26" s="105"/>
      <c r="L26" s="105"/>
      <c r="M26" s="105"/>
      <c r="N26" s="105"/>
      <c r="O26" s="105">
        <f>EXP(1.609)</f>
        <v>4.9978109171777749</v>
      </c>
      <c r="P26" s="105"/>
    </row>
    <row r="27" spans="3:27" ht="16.5" thickTop="1" thickBot="1">
      <c r="C27" s="12"/>
      <c r="D27" s="12"/>
      <c r="E27" s="105"/>
      <c r="F27" s="327"/>
      <c r="G27" s="327"/>
      <c r="H27" s="105"/>
      <c r="I27" s="105"/>
      <c r="J27" s="105"/>
      <c r="K27" s="105"/>
      <c r="L27" s="105"/>
      <c r="M27" s="105"/>
    </row>
    <row r="28" spans="3:27" ht="15" hidden="1">
      <c r="C28" s="12"/>
      <c r="D28" s="12"/>
      <c r="E28" s="105">
        <f>3437.746771*LN(TAN(RADIANS(45+T25/2)))</f>
        <v>2158.4431965651615</v>
      </c>
      <c r="F28" s="327"/>
      <c r="G28" s="327"/>
      <c r="H28" s="105"/>
      <c r="I28" s="105"/>
      <c r="J28" s="105"/>
      <c r="K28" s="105"/>
      <c r="L28" s="105"/>
      <c r="M28" s="105"/>
    </row>
    <row r="29" spans="3:27" ht="15" hidden="1">
      <c r="C29" s="12"/>
      <c r="D29" s="12"/>
      <c r="E29" s="105">
        <f>E16</f>
        <v>2068.6007966322472</v>
      </c>
      <c r="F29" s="327"/>
      <c r="G29" s="327"/>
      <c r="H29" s="105"/>
      <c r="I29" s="105"/>
      <c r="J29" s="105"/>
      <c r="K29" s="105"/>
      <c r="L29" s="105"/>
      <c r="M29" s="105"/>
    </row>
    <row r="30" spans="3:27" ht="15" hidden="1">
      <c r="C30" s="12"/>
      <c r="D30" s="12"/>
      <c r="E30" s="105">
        <f>E28-E29</f>
        <v>89.842399932914304</v>
      </c>
      <c r="F30" s="327"/>
      <c r="G30" s="327"/>
      <c r="H30" s="105"/>
      <c r="I30" s="105"/>
      <c r="J30" s="105"/>
      <c r="K30" s="105"/>
      <c r="L30" s="105"/>
      <c r="M30" s="105"/>
    </row>
    <row r="31" spans="3:27" ht="15" hidden="1">
      <c r="C31" s="12"/>
      <c r="D31" s="12"/>
      <c r="E31" s="105"/>
      <c r="F31" s="327"/>
      <c r="G31" s="327"/>
      <c r="H31" s="105"/>
      <c r="I31" s="105"/>
      <c r="J31" s="105"/>
      <c r="K31" s="105"/>
      <c r="L31" s="105"/>
      <c r="M31" s="105"/>
    </row>
    <row r="32" spans="3:27" ht="15" hidden="1">
      <c r="C32" s="12"/>
      <c r="D32" s="12"/>
      <c r="E32" s="105">
        <f>E30*TAN(RADIANS(E20))</f>
        <v>76.77151886121618</v>
      </c>
      <c r="F32" s="327"/>
      <c r="G32" s="327"/>
      <c r="H32" s="105"/>
      <c r="I32" s="105"/>
      <c r="J32" s="105"/>
      <c r="K32" s="105"/>
      <c r="L32" s="105"/>
      <c r="M32" s="105"/>
    </row>
    <row r="33" spans="3:17" ht="15" hidden="1">
      <c r="C33" s="12"/>
      <c r="D33" s="12"/>
      <c r="E33" s="105">
        <f>Q16+E32</f>
        <v>7675.7715188612165</v>
      </c>
      <c r="F33" s="327"/>
      <c r="G33" s="327"/>
      <c r="H33" s="105"/>
      <c r="I33" s="105"/>
      <c r="J33" s="105"/>
      <c r="K33" s="105"/>
      <c r="L33" s="105"/>
      <c r="M33" s="105"/>
    </row>
    <row r="34" spans="3:17" ht="15" hidden="1">
      <c r="C34" s="12"/>
      <c r="D34" s="12"/>
      <c r="E34" s="105">
        <f>IF((E33/60)&gt;180,E33/60-360,E33/60)</f>
        <v>127.92952531435361</v>
      </c>
      <c r="F34" s="327"/>
      <c r="G34" s="327"/>
      <c r="H34" s="105"/>
      <c r="I34" s="105"/>
      <c r="J34" s="105"/>
      <c r="K34" s="105"/>
      <c r="L34" s="105"/>
      <c r="M34" s="105"/>
    </row>
    <row r="35" spans="3:17" ht="15" hidden="1">
      <c r="C35" s="12"/>
      <c r="D35" s="12"/>
      <c r="E35" s="105">
        <f>ABS(E34)</f>
        <v>127.92952531435361</v>
      </c>
      <c r="F35" s="327"/>
      <c r="G35" s="327"/>
      <c r="H35" s="105"/>
      <c r="I35" s="105"/>
      <c r="J35" s="105"/>
      <c r="K35" s="105"/>
      <c r="L35" s="105"/>
      <c r="M35" s="105"/>
    </row>
    <row r="36" spans="3:17" ht="15" hidden="1">
      <c r="C36" s="12"/>
      <c r="D36" s="12"/>
      <c r="E36" s="105"/>
      <c r="F36" s="327"/>
      <c r="G36" s="327"/>
      <c r="H36" s="105"/>
      <c r="I36" s="105"/>
      <c r="J36" s="105"/>
      <c r="K36" s="105"/>
      <c r="L36" s="105"/>
      <c r="M36" s="105"/>
    </row>
    <row r="37" spans="3:17" ht="15.75" thickBot="1">
      <c r="C37" s="12"/>
      <c r="D37" s="12"/>
      <c r="E37" s="595" t="s">
        <v>54</v>
      </c>
      <c r="F37" s="596"/>
      <c r="G37" s="596"/>
      <c r="H37" s="597"/>
      <c r="I37" s="105"/>
      <c r="J37" s="105"/>
      <c r="K37" s="105"/>
      <c r="L37" s="105"/>
      <c r="M37" s="105"/>
    </row>
    <row r="38" spans="3:17" ht="15.75" thickBot="1">
      <c r="C38" s="12"/>
      <c r="D38" s="12"/>
      <c r="E38" s="334" t="s">
        <v>379</v>
      </c>
      <c r="F38" s="328">
        <v>104</v>
      </c>
      <c r="G38" s="321">
        <v>1.7</v>
      </c>
      <c r="H38" s="313" t="s">
        <v>76</v>
      </c>
      <c r="I38" s="322"/>
      <c r="J38" s="323" t="s">
        <v>57</v>
      </c>
      <c r="K38" s="105"/>
      <c r="L38" s="105"/>
      <c r="M38" s="105"/>
      <c r="Q38" s="87">
        <f>IF(H38="E",F38+G38/60,-F38-G38/60)</f>
        <v>104.02833333333334</v>
      </c>
    </row>
    <row r="39" spans="3:17" ht="16.5" thickTop="1" thickBot="1">
      <c r="C39" s="12"/>
      <c r="D39" s="12"/>
      <c r="E39" s="309" t="s">
        <v>398</v>
      </c>
      <c r="F39" s="329">
        <f>INT(E46)</f>
        <v>7</v>
      </c>
      <c r="G39" s="325">
        <f>(E46-INT(E46))*60</f>
        <v>58.65697705314318</v>
      </c>
      <c r="H39" s="326" t="str">
        <f>IF(E45&lt;0,"S","N")</f>
        <v>N</v>
      </c>
      <c r="I39" s="105"/>
      <c r="J39" s="105"/>
      <c r="K39" s="105"/>
      <c r="L39" s="105"/>
      <c r="M39" s="105"/>
      <c r="Q39" s="87">
        <f>Q38*60</f>
        <v>6241.7</v>
      </c>
    </row>
    <row r="40" spans="3:17" ht="15.75" thickTop="1">
      <c r="C40" s="12"/>
      <c r="D40" s="12"/>
      <c r="Q40" s="87">
        <f>IF(ABS(Q39-Q16)&gt;10800,IF((Q39-Q16)&lt;0,Q39-Q16+21600,21600-Q39+Q16),Q39-Q16)</f>
        <v>-1357.3000000000002</v>
      </c>
    </row>
    <row r="41" spans="3:17" ht="15" hidden="1">
      <c r="C41" s="12"/>
      <c r="D41" s="12"/>
      <c r="E41" s="87">
        <f>Q40/TAN(RADIANS(E20))</f>
        <v>-1588.3896950037863</v>
      </c>
    </row>
    <row r="42" spans="3:17" ht="15" hidden="1">
      <c r="C42" s="12"/>
      <c r="D42" s="12"/>
      <c r="E42" s="87">
        <f>E16</f>
        <v>2068.6007966322472</v>
      </c>
    </row>
    <row r="43" spans="3:17" ht="15" hidden="1">
      <c r="C43" s="12"/>
      <c r="D43" s="12"/>
      <c r="E43" s="87">
        <f>E41+E42</f>
        <v>480.21110162846094</v>
      </c>
    </row>
    <row r="44" spans="3:17" ht="15" hidden="1">
      <c r="C44" s="12"/>
      <c r="D44" s="12"/>
    </row>
    <row r="45" spans="3:17" ht="15" hidden="1">
      <c r="C45" s="12"/>
      <c r="D45" s="12"/>
      <c r="E45" s="87">
        <f>(DEGREES(ATAN(EXP(E43/3437.746771)))-45)*2</f>
        <v>7.977616284219053</v>
      </c>
    </row>
    <row r="46" spans="3:17" ht="15" hidden="1">
      <c r="C46" s="12"/>
      <c r="D46" s="12"/>
      <c r="E46" s="87">
        <f>ABS(E45)</f>
        <v>7.977616284219053</v>
      </c>
    </row>
    <row r="47" spans="3:17" ht="15">
      <c r="C47" s="12"/>
      <c r="D47" s="12"/>
    </row>
    <row r="48" spans="3:17" ht="15">
      <c r="C48" s="12"/>
      <c r="D48" s="12"/>
    </row>
    <row r="49" spans="3:22" ht="15">
      <c r="C49" s="12"/>
      <c r="D49" s="12"/>
    </row>
    <row r="50" spans="3:22" ht="15">
      <c r="C50" s="12"/>
      <c r="D50" s="12"/>
    </row>
    <row r="51" spans="3:22" ht="15">
      <c r="C51" s="12"/>
      <c r="D51" s="12"/>
    </row>
    <row r="52" spans="3:22" ht="15">
      <c r="C52" s="12"/>
      <c r="D52" s="12"/>
      <c r="V52" s="330" t="s">
        <v>398</v>
      </c>
    </row>
    <row r="53" spans="3:22" ht="15">
      <c r="C53" s="12"/>
      <c r="D53" s="12"/>
    </row>
    <row r="54" spans="3:22" ht="15">
      <c r="C54" s="12"/>
      <c r="D54" s="12"/>
      <c r="N54" s="594" t="s">
        <v>398</v>
      </c>
      <c r="O54" s="594"/>
      <c r="P54" s="594"/>
      <c r="Q54" s="594"/>
      <c r="R54" s="594"/>
      <c r="S54" s="594"/>
      <c r="T54" s="594"/>
      <c r="U54" s="594"/>
    </row>
    <row r="55" spans="3:22" ht="15.75">
      <c r="C55" s="26"/>
      <c r="D55" s="12"/>
      <c r="E55" s="331"/>
    </row>
    <row r="56" spans="3:22" ht="15">
      <c r="C56" s="12"/>
      <c r="D56" s="12"/>
    </row>
    <row r="57" spans="3:22" ht="15">
      <c r="C57" s="12"/>
      <c r="D57" s="12"/>
      <c r="N57" s="316" t="s">
        <v>399</v>
      </c>
    </row>
    <row r="58" spans="3:22" ht="15.75">
      <c r="C58" s="26" t="s">
        <v>60</v>
      </c>
      <c r="D58" s="12"/>
    </row>
  </sheetData>
  <sheetProtection password="CF7A" sheet="1" objects="1" scenarios="1" selectLockedCells="1"/>
  <mergeCells count="6">
    <mergeCell ref="D1:AD1"/>
    <mergeCell ref="N54:U54"/>
    <mergeCell ref="E24:H24"/>
    <mergeCell ref="E37:H37"/>
    <mergeCell ref="E11:H11"/>
    <mergeCell ref="J11:M11"/>
  </mergeCells>
  <phoneticPr fontId="0" type="noConversion"/>
  <pageMargins left="0.75" right="0.75" top="1" bottom="1" header="0.5" footer="0.5"/>
  <pageSetup paperSize="9" scale="79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Info</vt:lpstr>
      <vt:lpstr>ETA</vt:lpstr>
      <vt:lpstr>True Wind Calc.</vt:lpstr>
      <vt:lpstr>Star Finder</vt:lpstr>
      <vt:lpstr>Dusk &amp; Dawn</vt:lpstr>
      <vt:lpstr>Passage Planning</vt:lpstr>
      <vt:lpstr>Plotting Courses</vt:lpstr>
      <vt:lpstr>'Dusk &amp; Dawn'!Print_Area</vt:lpstr>
      <vt:lpstr>ETA!Print_Area</vt:lpstr>
      <vt:lpstr>'Passage Planning'!Print_Area</vt:lpstr>
      <vt:lpstr>'Plotting Courses'!Print_Area</vt:lpstr>
      <vt:lpstr>'Star Finder'!Print_Area</vt:lpstr>
      <vt:lpstr>'True Wind Calc.'!Print_Area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Andrej</dc:creator>
  <cp:lastModifiedBy>behzad</cp:lastModifiedBy>
  <cp:lastPrinted>2018-12-24T20:53:21Z</cp:lastPrinted>
  <dcterms:created xsi:type="dcterms:W3CDTF">2001-10-20T12:57:46Z</dcterms:created>
  <dcterms:modified xsi:type="dcterms:W3CDTF">2025-09-10T13:12:38Z</dcterms:modified>
</cp:coreProperties>
</file>